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embeddings/oleObject8.bin" ContentType="application/vnd.openxmlformats-officedocument.oleObject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embeddings/oleObject6.bin" ContentType="application/vnd.openxmlformats-officedocument.oleObject"/>
  <Override PartName="/xl/worksheets/sheet7.xml" ContentType="application/vnd.openxmlformats-officedocument.spreadsheetml.worksheet+xml"/>
  <Override PartName="/xl/embeddings/oleObject4.bin" ContentType="application/vnd.openxmlformats-officedocument.oleObject"/>
  <Default Extension="wmf" ContentType="image/x-wmf"/>
  <Override PartName="/xl/charts/chart2.xml" ContentType="application/vnd.openxmlformats-officedocument.drawingml.chart+xml"/>
  <Override PartName="/xl/embeddings/oleObject10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worksheets/sheet1.xml" ContentType="application/vnd.openxmlformats-officedocument.spreadsheetml.worksheet+xml"/>
  <Default Extension="vml" ContentType="application/vnd.openxmlformats-officedocument.vmlDrawing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embeddings/oleObject9.bin" ContentType="application/vnd.openxmlformats-officedocument.oleObject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embeddings/oleObject7.bin" ContentType="application/vnd.openxmlformats-officedocument.oleObject"/>
  <Override PartName="/xl/embeddings/oleObject5.bin" ContentType="application/vnd.openxmlformats-officedocument.oleObject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embeddings/oleObject3.bin" ContentType="application/vnd.openxmlformats-officedocument.oleObject"/>
  <Default Extension="emf" ContentType="image/x-emf"/>
  <Override PartName="/xl/charts/chart3.xml" ContentType="application/vnd.openxmlformats-officedocument.drawingml.chart+xml"/>
  <Override PartName="/xl/embeddings/oleObject11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7320" windowHeight="5175" firstSheet="8" activeTab="8"/>
  </bookViews>
  <sheets>
    <sheet name="AboutProgram" sheetId="39" r:id="rId1"/>
    <sheet name="Model-2" sheetId="45" r:id="rId2"/>
    <sheet name="InverseTransform" sheetId="42" r:id="rId3"/>
    <sheet name="LeontMatrix" sheetId="40" r:id="rId4"/>
    <sheet name="QwaziSolution" sheetId="1" r:id="rId5"/>
    <sheet name="MatrixExampleExcel" sheetId="3" r:id="rId6"/>
    <sheet name="Test" sheetId="38" r:id="rId7"/>
    <sheet name="MatrixExamplesMathematica" sheetId="37" r:id="rId8"/>
    <sheet name="Statistics" sheetId="10" r:id="rId9"/>
    <sheet name="MatrixAverageValues" sheetId="46" r:id="rId10"/>
  </sheets>
  <calcPr calcId="125725"/>
</workbook>
</file>

<file path=xl/calcChain.xml><?xml version="1.0" encoding="utf-8"?>
<calcChain xmlns="http://schemas.openxmlformats.org/spreadsheetml/2006/main">
  <c r="N468" i="10"/>
  <c r="O468"/>
  <c r="P468"/>
  <c r="Q468"/>
  <c r="R468"/>
  <c r="S468"/>
  <c r="T468"/>
  <c r="U468"/>
  <c r="V468"/>
  <c r="W468"/>
  <c r="X468"/>
  <c r="Y468"/>
  <c r="N469"/>
  <c r="O469"/>
  <c r="P469"/>
  <c r="Q469"/>
  <c r="R469"/>
  <c r="S469"/>
  <c r="T469"/>
  <c r="U469"/>
  <c r="V469"/>
  <c r="W469"/>
  <c r="X469"/>
  <c r="Y469"/>
  <c r="N470"/>
  <c r="O470"/>
  <c r="P470"/>
  <c r="Q470"/>
  <c r="R470"/>
  <c r="S470"/>
  <c r="T470"/>
  <c r="U470"/>
  <c r="V470"/>
  <c r="W470"/>
  <c r="X470"/>
  <c r="Y470"/>
  <c r="O467"/>
  <c r="P467"/>
  <c r="Q467"/>
  <c r="R467"/>
  <c r="S467"/>
  <c r="T467"/>
  <c r="U467"/>
  <c r="V467"/>
  <c r="W467"/>
  <c r="X467"/>
  <c r="Y467"/>
  <c r="N467"/>
  <c r="Y465"/>
  <c r="Y464"/>
  <c r="Y463"/>
  <c r="Y462"/>
  <c r="X465"/>
  <c r="X464"/>
  <c r="X463"/>
  <c r="X462"/>
  <c r="W465"/>
  <c r="W464"/>
  <c r="W463"/>
  <c r="W462"/>
  <c r="V465"/>
  <c r="V464"/>
  <c r="V463"/>
  <c r="V462"/>
  <c r="U465"/>
  <c r="U464"/>
  <c r="U463"/>
  <c r="U462"/>
  <c r="T465"/>
  <c r="T464"/>
  <c r="T463"/>
  <c r="T462"/>
  <c r="S465"/>
  <c r="S462"/>
  <c r="R465"/>
  <c r="R464"/>
  <c r="R462"/>
  <c r="Q465"/>
  <c r="Q462"/>
  <c r="P465"/>
  <c r="P464"/>
  <c r="P462"/>
  <c r="O465"/>
  <c r="O464"/>
  <c r="O463"/>
  <c r="O462"/>
  <c r="N465"/>
  <c r="N463"/>
  <c r="N462"/>
  <c r="AA462"/>
  <c r="Z462"/>
  <c r="AN468"/>
  <c r="AD468"/>
  <c r="AE468"/>
  <c r="AF468"/>
  <c r="AG468"/>
  <c r="AN466"/>
  <c r="AN467"/>
  <c r="AD466"/>
  <c r="AE466"/>
  <c r="AF466"/>
  <c r="AG466"/>
  <c r="AD467"/>
  <c r="AE467"/>
  <c r="AF467"/>
  <c r="AG467"/>
  <c r="AN465"/>
  <c r="AG465"/>
  <c r="AD465"/>
  <c r="AE465"/>
  <c r="AF465"/>
  <c r="AN480"/>
  <c r="AN484"/>
  <c r="Y405"/>
  <c r="X405"/>
  <c r="W405"/>
  <c r="V405"/>
  <c r="U405"/>
  <c r="T405"/>
  <c r="Y404"/>
  <c r="X404"/>
  <c r="W404"/>
  <c r="V404"/>
  <c r="U404"/>
  <c r="T404"/>
  <c r="Y403"/>
  <c r="X403"/>
  <c r="W403"/>
  <c r="V403"/>
  <c r="U403"/>
  <c r="T403"/>
  <c r="Y402"/>
  <c r="X402"/>
  <c r="W402"/>
  <c r="V402"/>
  <c r="U402"/>
  <c r="T402"/>
  <c r="Y401"/>
  <c r="X401"/>
  <c r="W401"/>
  <c r="V401"/>
  <c r="U401"/>
  <c r="T401"/>
  <c r="N405"/>
  <c r="N402"/>
  <c r="O402"/>
  <c r="P402"/>
  <c r="Q402"/>
  <c r="R402"/>
  <c r="S402"/>
  <c r="N403"/>
  <c r="O403"/>
  <c r="P403"/>
  <c r="Q403"/>
  <c r="R403"/>
  <c r="S403"/>
  <c r="N404"/>
  <c r="O404"/>
  <c r="P404"/>
  <c r="Q404"/>
  <c r="R404"/>
  <c r="S404"/>
  <c r="O405"/>
  <c r="P405"/>
  <c r="Q405"/>
  <c r="R405"/>
  <c r="S405"/>
  <c r="O401"/>
  <c r="P401"/>
  <c r="Q401"/>
  <c r="R401"/>
  <c r="S401"/>
  <c r="N401"/>
  <c r="S399"/>
  <c r="S398"/>
  <c r="S397"/>
  <c r="S396"/>
  <c r="S395"/>
  <c r="R399"/>
  <c r="R398"/>
  <c r="R397"/>
  <c r="R396"/>
  <c r="Q397"/>
  <c r="Q398"/>
  <c r="Q399"/>
  <c r="Q396"/>
  <c r="P399"/>
  <c r="P398"/>
  <c r="P397"/>
  <c r="P396"/>
  <c r="O399"/>
  <c r="O398"/>
  <c r="O397"/>
  <c r="O396"/>
  <c r="N399"/>
  <c r="N398"/>
  <c r="N397"/>
  <c r="N396"/>
  <c r="R395"/>
  <c r="Q395"/>
  <c r="P395"/>
  <c r="O395"/>
  <c r="N395"/>
  <c r="AN483"/>
  <c r="AN482"/>
  <c r="AE482"/>
  <c r="AE483" s="1"/>
  <c r="AE484" s="1"/>
  <c r="AF482"/>
  <c r="AF483" s="1"/>
  <c r="AF484" s="1"/>
  <c r="AD482"/>
  <c r="AD483" s="1"/>
  <c r="AD484" s="1"/>
  <c r="AN478"/>
  <c r="AN479"/>
  <c r="AE478"/>
  <c r="AE479" s="1"/>
  <c r="AE480" s="1"/>
  <c r="AF478"/>
  <c r="AF479" s="1"/>
  <c r="AF480" s="1"/>
  <c r="AD478"/>
  <c r="AD479" s="1"/>
  <c r="AD480" s="1"/>
  <c r="AN473"/>
  <c r="AN474"/>
  <c r="AN472"/>
  <c r="AN471"/>
  <c r="AN464"/>
  <c r="AD464"/>
  <c r="AE464"/>
  <c r="AF464"/>
  <c r="AG464"/>
  <c r="AN477"/>
  <c r="AA464" s="1"/>
  <c r="AN481"/>
  <c r="AA465" s="1"/>
  <c r="AG477"/>
  <c r="AG478" s="1"/>
  <c r="AG479" s="1"/>
  <c r="AG480" s="1"/>
  <c r="AG481"/>
  <c r="AG482" s="1"/>
  <c r="AG483" s="1"/>
  <c r="AG484" s="1"/>
  <c r="AG463"/>
  <c r="AG469"/>
  <c r="Z463" s="1"/>
  <c r="AG475"/>
  <c r="AG476"/>
  <c r="AG485"/>
  <c r="AG486"/>
  <c r="AG487"/>
  <c r="AG488"/>
  <c r="AG462"/>
  <c r="AN470"/>
  <c r="AN475"/>
  <c r="AN476"/>
  <c r="AE470"/>
  <c r="AE471" s="1"/>
  <c r="AE472" s="1"/>
  <c r="AE473" s="1"/>
  <c r="AE474" s="1"/>
  <c r="AF470"/>
  <c r="AG470" s="1"/>
  <c r="AD470"/>
  <c r="AD471" s="1"/>
  <c r="AD472" s="1"/>
  <c r="AN463"/>
  <c r="AE463"/>
  <c r="AF463"/>
  <c r="AD463"/>
  <c r="AN485"/>
  <c r="AN486"/>
  <c r="AN487"/>
  <c r="AN488"/>
  <c r="U399"/>
  <c r="V399"/>
  <c r="W399"/>
  <c r="X399"/>
  <c r="Y399"/>
  <c r="T399"/>
  <c r="U398"/>
  <c r="V398"/>
  <c r="W398"/>
  <c r="X398"/>
  <c r="Y398"/>
  <c r="T398"/>
  <c r="U397"/>
  <c r="V397"/>
  <c r="W397"/>
  <c r="X397"/>
  <c r="Y397"/>
  <c r="T397"/>
  <c r="U396"/>
  <c r="V396"/>
  <c r="W396"/>
  <c r="X396"/>
  <c r="Y396"/>
  <c r="T396"/>
  <c r="U395"/>
  <c r="V395"/>
  <c r="W395"/>
  <c r="X395"/>
  <c r="Y395"/>
  <c r="T395"/>
  <c r="AA398"/>
  <c r="AA397"/>
  <c r="AA396"/>
  <c r="AA395"/>
  <c r="AN441"/>
  <c r="AN442"/>
  <c r="AN443"/>
  <c r="AN444"/>
  <c r="AN411"/>
  <c r="AD411"/>
  <c r="AE411"/>
  <c r="AF411"/>
  <c r="AG411"/>
  <c r="AN410"/>
  <c r="AN409"/>
  <c r="AD409"/>
  <c r="AE409"/>
  <c r="AF409"/>
  <c r="AG409"/>
  <c r="AD410"/>
  <c r="AE410"/>
  <c r="AF410"/>
  <c r="AG410"/>
  <c r="AN405"/>
  <c r="AN406"/>
  <c r="AN407"/>
  <c r="AN408"/>
  <c r="AD405"/>
  <c r="AE405"/>
  <c r="AF405"/>
  <c r="AG405"/>
  <c r="AD406"/>
  <c r="AE406"/>
  <c r="AF406"/>
  <c r="AG406"/>
  <c r="AD407"/>
  <c r="AE407"/>
  <c r="AF407"/>
  <c r="AG407"/>
  <c r="AD408"/>
  <c r="AE408"/>
  <c r="AF408"/>
  <c r="AG408"/>
  <c r="AN429"/>
  <c r="AN430"/>
  <c r="AN422"/>
  <c r="AN420"/>
  <c r="AN421"/>
  <c r="AN418"/>
  <c r="AN419"/>
  <c r="AG423"/>
  <c r="AN437"/>
  <c r="AN438"/>
  <c r="AN439"/>
  <c r="AN440"/>
  <c r="AN469"/>
  <c r="AA463" s="1"/>
  <c r="AN462"/>
  <c r="AF462"/>
  <c r="AE462"/>
  <c r="AD462"/>
  <c r="AN446"/>
  <c r="AG446"/>
  <c r="AN445"/>
  <c r="AA399" s="1"/>
  <c r="AG445"/>
  <c r="Z399" s="1"/>
  <c r="Z395"/>
  <c r="AN427"/>
  <c r="AN428"/>
  <c r="AN432"/>
  <c r="AN433"/>
  <c r="AN434"/>
  <c r="AN435"/>
  <c r="AN436"/>
  <c r="AD425"/>
  <c r="AD426" s="1"/>
  <c r="AE425"/>
  <c r="AE426" s="1"/>
  <c r="AE427" s="1"/>
  <c r="AE428" s="1"/>
  <c r="AE429" s="1"/>
  <c r="AE430" s="1"/>
  <c r="AF425"/>
  <c r="AF426" s="1"/>
  <c r="AF427" s="1"/>
  <c r="AF428" s="1"/>
  <c r="AF429" s="1"/>
  <c r="AF430" s="1"/>
  <c r="AG432"/>
  <c r="AD433"/>
  <c r="AD434" s="1"/>
  <c r="AE433"/>
  <c r="AE434" s="1"/>
  <c r="AE435" s="1"/>
  <c r="AE436" s="1"/>
  <c r="AE469" s="1"/>
  <c r="AF433"/>
  <c r="AF434" s="1"/>
  <c r="AF435" s="1"/>
  <c r="AF436" s="1"/>
  <c r="AF469" s="1"/>
  <c r="AE402"/>
  <c r="AE403" s="1"/>
  <c r="AE404" s="1"/>
  <c r="AF402"/>
  <c r="AD402"/>
  <c r="AD403" s="1"/>
  <c r="AN423"/>
  <c r="AN431"/>
  <c r="AN412"/>
  <c r="AN396"/>
  <c r="AN397"/>
  <c r="AN398"/>
  <c r="AN399"/>
  <c r="AN400"/>
  <c r="AN401"/>
  <c r="AN402"/>
  <c r="AN403"/>
  <c r="AN404"/>
  <c r="AN414"/>
  <c r="AN415"/>
  <c r="AN416"/>
  <c r="AN417"/>
  <c r="AN424"/>
  <c r="AN425"/>
  <c r="AN426"/>
  <c r="AN413"/>
  <c r="AN395"/>
  <c r="AG413"/>
  <c r="Z396" s="1"/>
  <c r="Z397"/>
  <c r="AG431"/>
  <c r="Z398" s="1"/>
  <c r="AG412"/>
  <c r="AG396"/>
  <c r="AG397"/>
  <c r="AG398"/>
  <c r="AG399"/>
  <c r="AG400"/>
  <c r="AG401"/>
  <c r="AG395"/>
  <c r="C88" i="38"/>
  <c r="F85" s="1"/>
  <c r="F90" s="1"/>
  <c r="E85"/>
  <c r="C85"/>
  <c r="E90" s="1"/>
  <c r="E89"/>
  <c r="F89"/>
  <c r="F88"/>
  <c r="E88"/>
  <c r="F84"/>
  <c r="E84"/>
  <c r="F83"/>
  <c r="E83"/>
  <c r="C96"/>
  <c r="C95"/>
  <c r="C94"/>
  <c r="C92"/>
  <c r="C91"/>
  <c r="C90"/>
  <c r="C87"/>
  <c r="C84"/>
  <c r="C86"/>
  <c r="C83"/>
  <c r="G19" i="42"/>
  <c r="G20"/>
  <c r="G21"/>
  <c r="G18"/>
  <c r="F21"/>
  <c r="F20"/>
  <c r="F19"/>
  <c r="F18"/>
  <c r="G8"/>
  <c r="G9"/>
  <c r="G10"/>
  <c r="G7"/>
  <c r="F8"/>
  <c r="F9"/>
  <c r="F10"/>
  <c r="F7"/>
  <c r="B11"/>
  <c r="C12" i="45"/>
  <c r="C30" s="1"/>
  <c r="C11"/>
  <c r="C10"/>
  <c r="C27" s="1"/>
  <c r="B10"/>
  <c r="B27" s="1"/>
  <c r="C7"/>
  <c r="J4"/>
  <c r="N2"/>
  <c r="N5" i="37"/>
  <c r="U221" i="10"/>
  <c r="Q221"/>
  <c r="T221" s="1"/>
  <c r="P221"/>
  <c r="L221"/>
  <c r="J221"/>
  <c r="K221" s="1"/>
  <c r="H221"/>
  <c r="S221" s="1"/>
  <c r="G221"/>
  <c r="F221"/>
  <c r="E221"/>
  <c r="D221"/>
  <c r="C221"/>
  <c r="B221"/>
  <c r="I221" s="1"/>
  <c r="FB252" i="37"/>
  <c r="FB244"/>
  <c r="FD265"/>
  <c r="FD264"/>
  <c r="FD259"/>
  <c r="FB269" s="1"/>
  <c r="FB259"/>
  <c r="FB266" s="1"/>
  <c r="FD258"/>
  <c r="FB268" s="1"/>
  <c r="FB258"/>
  <c r="FB265" s="1"/>
  <c r="FD257"/>
  <c r="FB267" s="1"/>
  <c r="FB257"/>
  <c r="FB261" s="1"/>
  <c r="FD255"/>
  <c r="FC255"/>
  <c r="FB255"/>
  <c r="FG254"/>
  <c r="FF254"/>
  <c r="FE254"/>
  <c r="FJ253"/>
  <c r="FG253"/>
  <c r="FF253"/>
  <c r="FE253"/>
  <c r="FD260" s="1"/>
  <c r="FJ252"/>
  <c r="FG252"/>
  <c r="FE261" s="1"/>
  <c r="FF252"/>
  <c r="FE252"/>
  <c r="FJ251"/>
  <c r="FD247"/>
  <c r="FC247"/>
  <c r="FB247"/>
  <c r="FI246"/>
  <c r="FG246"/>
  <c r="FF246"/>
  <c r="FE246"/>
  <c r="FG245"/>
  <c r="FF245"/>
  <c r="FE245"/>
  <c r="FG244"/>
  <c r="FF244"/>
  <c r="FE244"/>
  <c r="U222" i="10"/>
  <c r="Q222"/>
  <c r="T222" s="1"/>
  <c r="L222"/>
  <c r="M222" s="1"/>
  <c r="J222"/>
  <c r="K222" s="1"/>
  <c r="H222"/>
  <c r="S222" s="1"/>
  <c r="G222"/>
  <c r="C220"/>
  <c r="B222"/>
  <c r="I222" s="1"/>
  <c r="FJ223" i="37"/>
  <c r="FJ222"/>
  <c r="FJ221"/>
  <c r="FD229"/>
  <c r="FB239" s="1"/>
  <c r="FD228"/>
  <c r="FB238" s="1"/>
  <c r="FB229"/>
  <c r="FB236" s="1"/>
  <c r="FG223"/>
  <c r="FE223"/>
  <c r="FB228"/>
  <c r="FB235" s="1"/>
  <c r="FF222"/>
  <c r="FD234"/>
  <c r="P222" i="10" s="1"/>
  <c r="FB227" i="37"/>
  <c r="FC217"/>
  <c r="FI216"/>
  <c r="FF216"/>
  <c r="FG216"/>
  <c r="FF215"/>
  <c r="FG215"/>
  <c r="FD217"/>
  <c r="FF217" s="1"/>
  <c r="FD235"/>
  <c r="FB217"/>
  <c r="FD184"/>
  <c r="FF184" s="1"/>
  <c r="FC184"/>
  <c r="FB186"/>
  <c r="FB185"/>
  <c r="FB184"/>
  <c r="FB187" s="1"/>
  <c r="FK199"/>
  <c r="FD199"/>
  <c r="FB209" s="1"/>
  <c r="FD198"/>
  <c r="FB208" s="1"/>
  <c r="FD195"/>
  <c r="FB194"/>
  <c r="FB195" s="1"/>
  <c r="FJ193"/>
  <c r="FG193"/>
  <c r="FE193"/>
  <c r="FB193"/>
  <c r="FB198" s="1"/>
  <c r="FB205" s="1"/>
  <c r="FJ192"/>
  <c r="FD192"/>
  <c r="FF192" s="1"/>
  <c r="FC192"/>
  <c r="FD204" s="1"/>
  <c r="FB192"/>
  <c r="FJ191"/>
  <c r="FC187"/>
  <c r="FI186"/>
  <c r="FF186"/>
  <c r="FG186"/>
  <c r="FF185"/>
  <c r="FD205"/>
  <c r="O250" i="10"/>
  <c r="N250"/>
  <c r="L250"/>
  <c r="M250" s="1"/>
  <c r="J250"/>
  <c r="K250" s="1"/>
  <c r="I250"/>
  <c r="G250"/>
  <c r="F250"/>
  <c r="E250"/>
  <c r="D250"/>
  <c r="C250"/>
  <c r="B250"/>
  <c r="FD162" i="37"/>
  <c r="FC162"/>
  <c r="FB164"/>
  <c r="FB163"/>
  <c r="FB162"/>
  <c r="FB167" s="1"/>
  <c r="FD154"/>
  <c r="FC154"/>
  <c r="FB156"/>
  <c r="FG156" s="1"/>
  <c r="FB155"/>
  <c r="FB154"/>
  <c r="FD169"/>
  <c r="FB179" s="1"/>
  <c r="FD168"/>
  <c r="FB178" s="1"/>
  <c r="FD165"/>
  <c r="FJ163"/>
  <c r="FG163"/>
  <c r="FE163"/>
  <c r="FJ162"/>
  <c r="FD174"/>
  <c r="FJ161"/>
  <c r="FC157"/>
  <c r="FI156"/>
  <c r="FF156"/>
  <c r="FF155"/>
  <c r="FG155"/>
  <c r="FF154"/>
  <c r="FD175"/>
  <c r="FD132"/>
  <c r="FC132"/>
  <c r="FB134"/>
  <c r="FB133"/>
  <c r="FB132"/>
  <c r="FD124"/>
  <c r="FC124"/>
  <c r="FD145" s="1"/>
  <c r="O249" i="10" s="1"/>
  <c r="FB126" i="37"/>
  <c r="FB125"/>
  <c r="FB138" s="1"/>
  <c r="FB145" s="1"/>
  <c r="FB124"/>
  <c r="G249" i="10"/>
  <c r="FD137" i="37"/>
  <c r="FB147" s="1"/>
  <c r="FD144"/>
  <c r="N249" i="10" s="1"/>
  <c r="FD139" i="37"/>
  <c r="FB149" s="1"/>
  <c r="FB139"/>
  <c r="FB146" s="1"/>
  <c r="FD138"/>
  <c r="FB148" s="1"/>
  <c r="FD135"/>
  <c r="FC135"/>
  <c r="FG134"/>
  <c r="FF134"/>
  <c r="FE134"/>
  <c r="FJ133"/>
  <c r="FG133"/>
  <c r="FF133"/>
  <c r="FE133"/>
  <c r="FJ132"/>
  <c r="FG132"/>
  <c r="FE141" s="1"/>
  <c r="C249" i="10" s="1"/>
  <c r="FE132" i="37"/>
  <c r="FB135"/>
  <c r="FG135" s="1"/>
  <c r="FJ131"/>
  <c r="FD127"/>
  <c r="FC127"/>
  <c r="FI126"/>
  <c r="FG126"/>
  <c r="FF126"/>
  <c r="FE126"/>
  <c r="FG125"/>
  <c r="FF125"/>
  <c r="FE125"/>
  <c r="FF124"/>
  <c r="FB127"/>
  <c r="L248" i="10"/>
  <c r="G257" s="1"/>
  <c r="O248"/>
  <c r="N248"/>
  <c r="I257" s="1"/>
  <c r="J248"/>
  <c r="K248" s="1"/>
  <c r="I248"/>
  <c r="G248"/>
  <c r="D257" s="1"/>
  <c r="F248"/>
  <c r="C257" s="1"/>
  <c r="E248"/>
  <c r="D248"/>
  <c r="C248"/>
  <c r="B248"/>
  <c r="B257" s="1"/>
  <c r="FB102" i="37"/>
  <c r="FB94"/>
  <c r="FD115"/>
  <c r="FD114"/>
  <c r="FD109"/>
  <c r="FB119" s="1"/>
  <c r="FB109"/>
  <c r="FB116" s="1"/>
  <c r="FD108"/>
  <c r="FB118" s="1"/>
  <c r="FB108"/>
  <c r="FB115" s="1"/>
  <c r="FD107"/>
  <c r="FB117" s="1"/>
  <c r="FB107"/>
  <c r="FB114" s="1"/>
  <c r="FD105"/>
  <c r="FC105"/>
  <c r="FB105"/>
  <c r="FG104"/>
  <c r="FF104"/>
  <c r="FE104"/>
  <c r="FJ103"/>
  <c r="FG103"/>
  <c r="FF103"/>
  <c r="FE103"/>
  <c r="FJ102"/>
  <c r="FG102"/>
  <c r="FE111" s="1"/>
  <c r="FF102"/>
  <c r="FE102"/>
  <c r="FJ101"/>
  <c r="FD97"/>
  <c r="FC97"/>
  <c r="FB97"/>
  <c r="FI96"/>
  <c r="FG96"/>
  <c r="FF96"/>
  <c r="FE96"/>
  <c r="FG95"/>
  <c r="FF95"/>
  <c r="FE95"/>
  <c r="FG94"/>
  <c r="FF94"/>
  <c r="FE94"/>
  <c r="O247" i="10"/>
  <c r="N247"/>
  <c r="L247"/>
  <c r="M247" s="1"/>
  <c r="J247"/>
  <c r="K247" s="1"/>
  <c r="I247"/>
  <c r="G247"/>
  <c r="F247"/>
  <c r="E247"/>
  <c r="D247"/>
  <c r="C247"/>
  <c r="B247"/>
  <c r="FD85" i="37"/>
  <c r="FD84"/>
  <c r="FD79"/>
  <c r="FB89" s="1"/>
  <c r="FB79"/>
  <c r="FB86" s="1"/>
  <c r="FD78"/>
  <c r="FB88" s="1"/>
  <c r="FB78"/>
  <c r="FB85" s="1"/>
  <c r="FD77"/>
  <c r="FB87" s="1"/>
  <c r="FB77"/>
  <c r="FB84" s="1"/>
  <c r="FD75"/>
  <c r="FC75"/>
  <c r="FB75"/>
  <c r="FG74"/>
  <c r="FF74"/>
  <c r="FE74"/>
  <c r="FJ73"/>
  <c r="FG73"/>
  <c r="FF73"/>
  <c r="FE73"/>
  <c r="FJ72"/>
  <c r="FG72"/>
  <c r="FE81" s="1"/>
  <c r="FF72"/>
  <c r="FE72"/>
  <c r="FJ71"/>
  <c r="FD67"/>
  <c r="FC67"/>
  <c r="FB67"/>
  <c r="FI66"/>
  <c r="FG66"/>
  <c r="FF66"/>
  <c r="FE66"/>
  <c r="FG65"/>
  <c r="FF65"/>
  <c r="FE65"/>
  <c r="FG64"/>
  <c r="FF64"/>
  <c r="FE64"/>
  <c r="O246" i="10"/>
  <c r="N246"/>
  <c r="L246"/>
  <c r="M246" s="1"/>
  <c r="J246"/>
  <c r="K246" s="1"/>
  <c r="I246"/>
  <c r="O245"/>
  <c r="N245"/>
  <c r="L245"/>
  <c r="M245" s="1"/>
  <c r="J245"/>
  <c r="K245" s="1"/>
  <c r="I245"/>
  <c r="G246"/>
  <c r="F246"/>
  <c r="E246"/>
  <c r="D246"/>
  <c r="C246"/>
  <c r="B246"/>
  <c r="G245"/>
  <c r="F245"/>
  <c r="E245"/>
  <c r="D245"/>
  <c r="FE21" i="37"/>
  <c r="C245" i="10"/>
  <c r="B245"/>
  <c r="A245"/>
  <c r="FI36" i="37"/>
  <c r="FI6"/>
  <c r="FD55"/>
  <c r="FD54"/>
  <c r="FD49"/>
  <c r="FB59" s="1"/>
  <c r="FB49"/>
  <c r="FB56" s="1"/>
  <c r="FD48"/>
  <c r="FB58" s="1"/>
  <c r="FB48"/>
  <c r="FB55" s="1"/>
  <c r="FD47"/>
  <c r="FB57" s="1"/>
  <c r="FB47"/>
  <c r="FB51" s="1"/>
  <c r="FD45"/>
  <c r="FC45"/>
  <c r="FG45" s="1"/>
  <c r="FB45"/>
  <c r="FG44"/>
  <c r="FF44"/>
  <c r="FE44"/>
  <c r="FJ43"/>
  <c r="FG43"/>
  <c r="FF43"/>
  <c r="FE43"/>
  <c r="FJ42"/>
  <c r="FG42"/>
  <c r="FE51" s="1"/>
  <c r="FF42"/>
  <c r="FE42"/>
  <c r="FJ41"/>
  <c r="FD37"/>
  <c r="FC37"/>
  <c r="FB37"/>
  <c r="FG36"/>
  <c r="FF36"/>
  <c r="FE36"/>
  <c r="FG35"/>
  <c r="FF35"/>
  <c r="FE35"/>
  <c r="FG34"/>
  <c r="FF34"/>
  <c r="FE34"/>
  <c r="FJ13"/>
  <c r="FJ12"/>
  <c r="FJ11"/>
  <c r="FD25"/>
  <c r="FD24"/>
  <c r="FD19"/>
  <c r="FB29" s="1"/>
  <c r="FB19"/>
  <c r="FB26" s="1"/>
  <c r="FD18"/>
  <c r="FB28" s="1"/>
  <c r="FB18"/>
  <c r="FB25" s="1"/>
  <c r="FD17"/>
  <c r="FB27" s="1"/>
  <c r="FB17"/>
  <c r="FB21" s="1"/>
  <c r="FD15"/>
  <c r="FC15"/>
  <c r="FB15"/>
  <c r="FG14"/>
  <c r="FF14"/>
  <c r="FE14"/>
  <c r="FG13"/>
  <c r="FF13"/>
  <c r="FE13"/>
  <c r="FG12"/>
  <c r="FF12"/>
  <c r="FE12"/>
  <c r="FD7"/>
  <c r="FC7"/>
  <c r="FB7"/>
  <c r="FG6"/>
  <c r="FF6"/>
  <c r="FE6"/>
  <c r="FG5"/>
  <c r="FF5"/>
  <c r="FE5"/>
  <c r="FG4"/>
  <c r="FF4"/>
  <c r="FE4"/>
  <c r="D807"/>
  <c r="D806"/>
  <c r="D801"/>
  <c r="B811" s="1"/>
  <c r="B801"/>
  <c r="B808" s="1"/>
  <c r="D800"/>
  <c r="B810" s="1"/>
  <c r="B800"/>
  <c r="B807" s="1"/>
  <c r="D799"/>
  <c r="B809" s="1"/>
  <c r="B799"/>
  <c r="B806" s="1"/>
  <c r="D797"/>
  <c r="C797"/>
  <c r="B797"/>
  <c r="G796"/>
  <c r="F796"/>
  <c r="E796"/>
  <c r="J795"/>
  <c r="G795"/>
  <c r="F795"/>
  <c r="E795"/>
  <c r="J794"/>
  <c r="G794"/>
  <c r="E803" s="1"/>
  <c r="F794"/>
  <c r="E794"/>
  <c r="J793"/>
  <c r="D789"/>
  <c r="C789"/>
  <c r="B789"/>
  <c r="G788"/>
  <c r="F788"/>
  <c r="E788"/>
  <c r="G787"/>
  <c r="F787"/>
  <c r="E787"/>
  <c r="G786"/>
  <c r="F786"/>
  <c r="E786"/>
  <c r="U220" i="10"/>
  <c r="U219"/>
  <c r="U218"/>
  <c r="U217"/>
  <c r="U216"/>
  <c r="U215"/>
  <c r="O244"/>
  <c r="O243"/>
  <c r="O242"/>
  <c r="O241"/>
  <c r="O240"/>
  <c r="O239"/>
  <c r="O238"/>
  <c r="O237"/>
  <c r="O236"/>
  <c r="O235"/>
  <c r="D686" i="37"/>
  <c r="D687"/>
  <c r="O234" i="10"/>
  <c r="D657" i="37"/>
  <c r="O233" i="10"/>
  <c r="O232"/>
  <c r="O231"/>
  <c r="O230"/>
  <c r="ER114" i="37"/>
  <c r="N244" i="10"/>
  <c r="N243"/>
  <c r="N242"/>
  <c r="N241"/>
  <c r="N240"/>
  <c r="N239"/>
  <c r="N238"/>
  <c r="N237"/>
  <c r="N236"/>
  <c r="N235"/>
  <c r="N234"/>
  <c r="N233"/>
  <c r="N232"/>
  <c r="D776" i="37"/>
  <c r="N231" i="10"/>
  <c r="N230"/>
  <c r="Q220"/>
  <c r="T220" s="1"/>
  <c r="Q219"/>
  <c r="T219" s="1"/>
  <c r="Q218"/>
  <c r="T218" s="1"/>
  <c r="Q217"/>
  <c r="T217" s="1"/>
  <c r="Q216"/>
  <c r="T216" s="1"/>
  <c r="F620" i="37"/>
  <c r="Q215" i="10"/>
  <c r="T215" s="1"/>
  <c r="EU105" i="37"/>
  <c r="ET105"/>
  <c r="EU104"/>
  <c r="ET104"/>
  <c r="EU103"/>
  <c r="ET103"/>
  <c r="EV102"/>
  <c r="EU102"/>
  <c r="ET102"/>
  <c r="EU97"/>
  <c r="ET97"/>
  <c r="EU96"/>
  <c r="ET96"/>
  <c r="EU95"/>
  <c r="ET95"/>
  <c r="EU94"/>
  <c r="ET94"/>
  <c r="EU75"/>
  <c r="ET75"/>
  <c r="EU74"/>
  <c r="ET74"/>
  <c r="EU73"/>
  <c r="ET73"/>
  <c r="EV72"/>
  <c r="EU72"/>
  <c r="ET72"/>
  <c r="EU67"/>
  <c r="ET67"/>
  <c r="EU66"/>
  <c r="ET66"/>
  <c r="EU65"/>
  <c r="ET65"/>
  <c r="EU64"/>
  <c r="ET64"/>
  <c r="EU45"/>
  <c r="ET45"/>
  <c r="EU44"/>
  <c r="ET44"/>
  <c r="EU43"/>
  <c r="ET43"/>
  <c r="EV42"/>
  <c r="EU42"/>
  <c r="ET42"/>
  <c r="EU37"/>
  <c r="ET37"/>
  <c r="EU36"/>
  <c r="ET36"/>
  <c r="EU35"/>
  <c r="ET35"/>
  <c r="EU34"/>
  <c r="ET34"/>
  <c r="EU15"/>
  <c r="ET15"/>
  <c r="EU14"/>
  <c r="ET14"/>
  <c r="EU13"/>
  <c r="ET13"/>
  <c r="EV12"/>
  <c r="EU12"/>
  <c r="ET12"/>
  <c r="EU7"/>
  <c r="ET7"/>
  <c r="EU6"/>
  <c r="ET6"/>
  <c r="EU5"/>
  <c r="ET5"/>
  <c r="EU4"/>
  <c r="ET4"/>
  <c r="EI105"/>
  <c r="EH105"/>
  <c r="EI104"/>
  <c r="EH104"/>
  <c r="EI103"/>
  <c r="EH103"/>
  <c r="EJ102"/>
  <c r="EI102"/>
  <c r="EH102"/>
  <c r="EI97"/>
  <c r="EH97"/>
  <c r="EI96"/>
  <c r="EH96"/>
  <c r="EI95"/>
  <c r="EH95"/>
  <c r="EI94"/>
  <c r="EH94"/>
  <c r="EI75"/>
  <c r="EH75"/>
  <c r="EI74"/>
  <c r="EH74"/>
  <c r="EI73"/>
  <c r="EH73"/>
  <c r="EJ72"/>
  <c r="EI72"/>
  <c r="EH72"/>
  <c r="EI67"/>
  <c r="EH67"/>
  <c r="EI66"/>
  <c r="EH66"/>
  <c r="EI65"/>
  <c r="EH65"/>
  <c r="EI64"/>
  <c r="EH64"/>
  <c r="EI45"/>
  <c r="EH45"/>
  <c r="EI44"/>
  <c r="EH44"/>
  <c r="EI43"/>
  <c r="EH43"/>
  <c r="EJ42"/>
  <c r="EI42"/>
  <c r="EH42"/>
  <c r="EI37"/>
  <c r="EH37"/>
  <c r="EI36"/>
  <c r="EH36"/>
  <c r="EI35"/>
  <c r="EH35"/>
  <c r="EI34"/>
  <c r="EH34"/>
  <c r="EI15"/>
  <c r="EH15"/>
  <c r="EI14"/>
  <c r="EH14"/>
  <c r="EI13"/>
  <c r="EH13"/>
  <c r="EJ12"/>
  <c r="EI12"/>
  <c r="EH12"/>
  <c r="EI7"/>
  <c r="EH7"/>
  <c r="EI6"/>
  <c r="EH6"/>
  <c r="EI5"/>
  <c r="EH5"/>
  <c r="EI4"/>
  <c r="EH4"/>
  <c r="DW15"/>
  <c r="DV15"/>
  <c r="DW14"/>
  <c r="DV14"/>
  <c r="DW13"/>
  <c r="DV13"/>
  <c r="DX12"/>
  <c r="DW12"/>
  <c r="DV12"/>
  <c r="DW7"/>
  <c r="DV7"/>
  <c r="DW6"/>
  <c r="DV6"/>
  <c r="DW5"/>
  <c r="DV5"/>
  <c r="DW4"/>
  <c r="DV4"/>
  <c r="DK15"/>
  <c r="DJ15"/>
  <c r="DK14"/>
  <c r="DJ14"/>
  <c r="DK13"/>
  <c r="DJ13"/>
  <c r="DL12"/>
  <c r="DK12"/>
  <c r="DJ12"/>
  <c r="DK7"/>
  <c r="DJ7"/>
  <c r="DK6"/>
  <c r="DJ6"/>
  <c r="DK5"/>
  <c r="DJ5"/>
  <c r="DK4"/>
  <c r="DJ4"/>
  <c r="CY15"/>
  <c r="CX15"/>
  <c r="CY14"/>
  <c r="CX14"/>
  <c r="CY13"/>
  <c r="CX13"/>
  <c r="CZ12"/>
  <c r="CY12"/>
  <c r="CX12"/>
  <c r="CY7"/>
  <c r="CX7"/>
  <c r="CY6"/>
  <c r="CX6"/>
  <c r="CY5"/>
  <c r="CX5"/>
  <c r="CY4"/>
  <c r="CX4"/>
  <c r="CI47"/>
  <c r="CH47"/>
  <c r="CI46"/>
  <c r="CH46"/>
  <c r="CI45"/>
  <c r="CH45"/>
  <c r="CJ44"/>
  <c r="CI44"/>
  <c r="CH44"/>
  <c r="CI39"/>
  <c r="CH39"/>
  <c r="CI38"/>
  <c r="CH38"/>
  <c r="CI37"/>
  <c r="CH37"/>
  <c r="CI36"/>
  <c r="CH36"/>
  <c r="CI17"/>
  <c r="CH17"/>
  <c r="CI16"/>
  <c r="CH16"/>
  <c r="CI15"/>
  <c r="CH15"/>
  <c r="CJ14"/>
  <c r="CI14"/>
  <c r="CH14"/>
  <c r="CI9"/>
  <c r="CH9"/>
  <c r="CI8"/>
  <c r="CH8"/>
  <c r="CI7"/>
  <c r="CH7"/>
  <c r="CI6"/>
  <c r="CH6"/>
  <c r="BM618"/>
  <c r="BL618"/>
  <c r="BM617"/>
  <c r="BL617"/>
  <c r="BM616"/>
  <c r="BL616"/>
  <c r="BN615"/>
  <c r="BM615"/>
  <c r="BL615"/>
  <c r="BM610"/>
  <c r="BL610"/>
  <c r="BM609"/>
  <c r="BL609"/>
  <c r="BM608"/>
  <c r="BL608"/>
  <c r="BM607"/>
  <c r="BL607"/>
  <c r="BM588"/>
  <c r="BL588"/>
  <c r="BM587"/>
  <c r="BL587"/>
  <c r="BM586"/>
  <c r="BL586"/>
  <c r="BN585"/>
  <c r="BM585"/>
  <c r="BL585"/>
  <c r="BM580"/>
  <c r="BL580"/>
  <c r="BM579"/>
  <c r="BL579"/>
  <c r="BM578"/>
  <c r="BL578"/>
  <c r="BM577"/>
  <c r="BL577"/>
  <c r="BM558"/>
  <c r="BL558"/>
  <c r="BM557"/>
  <c r="BL557"/>
  <c r="BM556"/>
  <c r="BL556"/>
  <c r="BN555"/>
  <c r="BM555"/>
  <c r="BL555"/>
  <c r="BM550"/>
  <c r="BL550"/>
  <c r="BM549"/>
  <c r="BL549"/>
  <c r="BM548"/>
  <c r="BL548"/>
  <c r="BM547"/>
  <c r="BL547"/>
  <c r="BM528"/>
  <c r="BL528"/>
  <c r="BM527"/>
  <c r="BL527"/>
  <c r="BM526"/>
  <c r="BL526"/>
  <c r="BN525"/>
  <c r="BM525"/>
  <c r="BL525"/>
  <c r="BM520"/>
  <c r="BL520"/>
  <c r="BM519"/>
  <c r="BL519"/>
  <c r="BM518"/>
  <c r="BL518"/>
  <c r="BM517"/>
  <c r="BL517"/>
  <c r="BM498"/>
  <c r="BL498"/>
  <c r="BM497"/>
  <c r="BL497"/>
  <c r="BM496"/>
  <c r="BL496"/>
  <c r="BN495"/>
  <c r="BM495"/>
  <c r="BL495"/>
  <c r="BM490"/>
  <c r="BL490"/>
  <c r="BM489"/>
  <c r="BL489"/>
  <c r="BM488"/>
  <c r="BL488"/>
  <c r="BM487"/>
  <c r="BL487"/>
  <c r="BM468"/>
  <c r="BL468"/>
  <c r="BM467"/>
  <c r="BL467"/>
  <c r="BM466"/>
  <c r="BL466"/>
  <c r="BN465"/>
  <c r="BM465"/>
  <c r="BK474" s="1"/>
  <c r="BL465"/>
  <c r="BM461"/>
  <c r="BM460"/>
  <c r="BL460"/>
  <c r="BM459"/>
  <c r="BL459"/>
  <c r="BM458"/>
  <c r="BL458"/>
  <c r="BM457"/>
  <c r="BL471" s="1"/>
  <c r="BL457"/>
  <c r="BM438"/>
  <c r="BL438"/>
  <c r="BM437"/>
  <c r="BL437"/>
  <c r="BM436"/>
  <c r="BL436"/>
  <c r="BN435"/>
  <c r="BM435"/>
  <c r="BL435"/>
  <c r="BM430"/>
  <c r="BL430"/>
  <c r="BM429"/>
  <c r="BL429"/>
  <c r="BM428"/>
  <c r="BL428"/>
  <c r="BM427"/>
  <c r="BL427"/>
  <c r="BM408"/>
  <c r="BL408"/>
  <c r="BM407"/>
  <c r="BL407"/>
  <c r="BM406"/>
  <c r="BL406"/>
  <c r="BN405"/>
  <c r="BM405"/>
  <c r="BL405"/>
  <c r="BM400"/>
  <c r="BL400"/>
  <c r="BM399"/>
  <c r="BL399"/>
  <c r="BM398"/>
  <c r="BL398"/>
  <c r="BM397"/>
  <c r="BL397"/>
  <c r="BM378"/>
  <c r="BL378"/>
  <c r="BM377"/>
  <c r="BL377"/>
  <c r="BM376"/>
  <c r="BL376"/>
  <c r="BN375"/>
  <c r="BM375"/>
  <c r="BL375"/>
  <c r="BM370"/>
  <c r="BL370"/>
  <c r="BM369"/>
  <c r="BL369"/>
  <c r="BM368"/>
  <c r="BL368"/>
  <c r="BM367"/>
  <c r="BL367"/>
  <c r="BM348"/>
  <c r="BL348"/>
  <c r="BM347"/>
  <c r="BL347"/>
  <c r="BM346"/>
  <c r="BL346"/>
  <c r="BN345"/>
  <c r="BM345"/>
  <c r="BL345"/>
  <c r="BM340"/>
  <c r="BL340"/>
  <c r="BM339"/>
  <c r="BL339"/>
  <c r="BM338"/>
  <c r="BL338"/>
  <c r="BM337"/>
  <c r="BL337"/>
  <c r="BM318"/>
  <c r="BL318"/>
  <c r="BM317"/>
  <c r="BL317"/>
  <c r="BM316"/>
  <c r="BL316"/>
  <c r="BN315"/>
  <c r="BM315"/>
  <c r="BL315"/>
  <c r="BM310"/>
  <c r="BL310"/>
  <c r="BM309"/>
  <c r="BL309"/>
  <c r="BM308"/>
  <c r="BL308"/>
  <c r="BM307"/>
  <c r="BL307"/>
  <c r="BM288"/>
  <c r="BL288"/>
  <c r="BM287"/>
  <c r="BL287"/>
  <c r="BM286"/>
  <c r="BL286"/>
  <c r="BN285"/>
  <c r="BM285"/>
  <c r="BL285"/>
  <c r="BM280"/>
  <c r="BL280"/>
  <c r="BM279"/>
  <c r="BL279"/>
  <c r="BM278"/>
  <c r="BL278"/>
  <c r="BM277"/>
  <c r="BL277"/>
  <c r="BM258"/>
  <c r="BL258"/>
  <c r="BM257"/>
  <c r="BL257"/>
  <c r="BM256"/>
  <c r="BL256"/>
  <c r="BN255"/>
  <c r="BM255"/>
  <c r="BL255"/>
  <c r="BM250"/>
  <c r="BL250"/>
  <c r="BM249"/>
  <c r="BL249"/>
  <c r="BM248"/>
  <c r="BL248"/>
  <c r="BM247"/>
  <c r="BL247"/>
  <c r="BM227"/>
  <c r="BL227"/>
  <c r="BM226"/>
  <c r="BL226"/>
  <c r="BM225"/>
  <c r="BL225"/>
  <c r="BN224"/>
  <c r="BM224"/>
  <c r="BL224"/>
  <c r="BM219"/>
  <c r="BL219"/>
  <c r="BM218"/>
  <c r="BL218"/>
  <c r="BM217"/>
  <c r="BL217"/>
  <c r="BM216"/>
  <c r="BL216"/>
  <c r="BM197"/>
  <c r="BL197"/>
  <c r="BM196"/>
  <c r="BL196"/>
  <c r="BM195"/>
  <c r="BL195"/>
  <c r="BN194"/>
  <c r="BM194"/>
  <c r="BL194"/>
  <c r="BM189"/>
  <c r="BL189"/>
  <c r="BM188"/>
  <c r="BL188"/>
  <c r="BM187"/>
  <c r="BL187"/>
  <c r="BM186"/>
  <c r="BL186"/>
  <c r="BM167"/>
  <c r="BL167"/>
  <c r="BM166"/>
  <c r="BL166"/>
  <c r="BM165"/>
  <c r="BL165"/>
  <c r="BN164"/>
  <c r="BM164"/>
  <c r="BL164"/>
  <c r="BM159"/>
  <c r="BL159"/>
  <c r="BM158"/>
  <c r="BL158"/>
  <c r="BM157"/>
  <c r="BL157"/>
  <c r="BM156"/>
  <c r="BL156"/>
  <c r="BM137"/>
  <c r="BL137"/>
  <c r="BM136"/>
  <c r="BL136"/>
  <c r="BM135"/>
  <c r="BL135"/>
  <c r="BN134"/>
  <c r="BM134"/>
  <c r="BL134"/>
  <c r="BM130"/>
  <c r="BM129"/>
  <c r="BL129"/>
  <c r="BM128"/>
  <c r="BL128"/>
  <c r="BM127"/>
  <c r="BL127"/>
  <c r="BM126"/>
  <c r="BL140" s="1"/>
  <c r="BL126"/>
  <c r="BM107"/>
  <c r="BL107"/>
  <c r="BM106"/>
  <c r="BL106"/>
  <c r="BM105"/>
  <c r="BL105"/>
  <c r="BN104"/>
  <c r="BM104"/>
  <c r="BL104"/>
  <c r="BM99"/>
  <c r="BL99"/>
  <c r="BM98"/>
  <c r="BL98"/>
  <c r="BM97"/>
  <c r="BL97"/>
  <c r="BM96"/>
  <c r="BM100" s="1"/>
  <c r="BL96"/>
  <c r="BM76"/>
  <c r="BL76"/>
  <c r="BM75"/>
  <c r="BL75"/>
  <c r="BM74"/>
  <c r="BL74"/>
  <c r="BM68"/>
  <c r="BL68"/>
  <c r="BM67"/>
  <c r="BL67"/>
  <c r="BM66"/>
  <c r="BL66"/>
  <c r="BM46"/>
  <c r="BL46"/>
  <c r="BM45"/>
  <c r="BL45"/>
  <c r="BM44"/>
  <c r="BL44"/>
  <c r="BM38"/>
  <c r="BL38"/>
  <c r="BM37"/>
  <c r="BL37"/>
  <c r="BM36"/>
  <c r="BL36"/>
  <c r="BM17"/>
  <c r="BL17"/>
  <c r="BM16"/>
  <c r="BL16"/>
  <c r="BM15"/>
  <c r="BL15"/>
  <c r="BN14"/>
  <c r="BM14"/>
  <c r="BL14"/>
  <c r="BM9"/>
  <c r="BL9"/>
  <c r="BM8"/>
  <c r="BL8"/>
  <c r="BM7"/>
  <c r="BL7"/>
  <c r="BM6"/>
  <c r="BL6"/>
  <c r="AP227"/>
  <c r="AO227"/>
  <c r="AP226"/>
  <c r="AO226"/>
  <c r="AP225"/>
  <c r="AO225"/>
  <c r="AQ224"/>
  <c r="AP224"/>
  <c r="AO224"/>
  <c r="AP219"/>
  <c r="AO219"/>
  <c r="AP218"/>
  <c r="AO218"/>
  <c r="AP217"/>
  <c r="AO217"/>
  <c r="AP216"/>
  <c r="AO216"/>
  <c r="AP197"/>
  <c r="AO197"/>
  <c r="AP196"/>
  <c r="AO196"/>
  <c r="AP195"/>
  <c r="AO195"/>
  <c r="AQ194"/>
  <c r="AP194"/>
  <c r="AO194"/>
  <c r="AP189"/>
  <c r="AO189"/>
  <c r="AP188"/>
  <c r="AO188"/>
  <c r="AP187"/>
  <c r="AO187"/>
  <c r="AP186"/>
  <c r="AO186"/>
  <c r="AP166"/>
  <c r="AO166"/>
  <c r="AP165"/>
  <c r="AO165"/>
  <c r="AP164"/>
  <c r="AO164"/>
  <c r="AP158"/>
  <c r="AO158"/>
  <c r="AP157"/>
  <c r="AO157"/>
  <c r="AP156"/>
  <c r="AO156"/>
  <c r="AP137"/>
  <c r="AO137"/>
  <c r="AP136"/>
  <c r="AO136"/>
  <c r="AP135"/>
  <c r="AO135"/>
  <c r="AQ134"/>
  <c r="AP134"/>
  <c r="AO134"/>
  <c r="AP129"/>
  <c r="AO129"/>
  <c r="AP128"/>
  <c r="AO128"/>
  <c r="AP127"/>
  <c r="AO127"/>
  <c r="AP126"/>
  <c r="AO126"/>
  <c r="AP107"/>
  <c r="AO107"/>
  <c r="AP106"/>
  <c r="AO106"/>
  <c r="AP105"/>
  <c r="AO105"/>
  <c r="AQ104"/>
  <c r="AP104"/>
  <c r="AO104"/>
  <c r="AP99"/>
  <c r="AO99"/>
  <c r="AP98"/>
  <c r="AO98"/>
  <c r="AP97"/>
  <c r="AO97"/>
  <c r="AP96"/>
  <c r="AO96"/>
  <c r="AP77"/>
  <c r="AO77"/>
  <c r="AP76"/>
  <c r="AO76"/>
  <c r="AP75"/>
  <c r="AO75"/>
  <c r="AQ74"/>
  <c r="AP74"/>
  <c r="AO74"/>
  <c r="AP69"/>
  <c r="AO69"/>
  <c r="AP68"/>
  <c r="AO68"/>
  <c r="AP67"/>
  <c r="AO67"/>
  <c r="AP66"/>
  <c r="AO66"/>
  <c r="AP47"/>
  <c r="AO47"/>
  <c r="AP46"/>
  <c r="AO46"/>
  <c r="AP45"/>
  <c r="AO45"/>
  <c r="AQ44"/>
  <c r="AP44"/>
  <c r="AO44"/>
  <c r="AP39"/>
  <c r="AO39"/>
  <c r="AP38"/>
  <c r="AO38"/>
  <c r="AP37"/>
  <c r="AO37"/>
  <c r="AP36"/>
  <c r="AO36"/>
  <c r="AP17"/>
  <c r="AO17"/>
  <c r="AP16"/>
  <c r="AO16"/>
  <c r="AP15"/>
  <c r="AO15"/>
  <c r="AQ14"/>
  <c r="AP14"/>
  <c r="AO14"/>
  <c r="AP9"/>
  <c r="AO9"/>
  <c r="AP8"/>
  <c r="AO8"/>
  <c r="AP7"/>
  <c r="AO7"/>
  <c r="AP6"/>
  <c r="AO6"/>
  <c r="Y287"/>
  <c r="X287"/>
  <c r="Y286"/>
  <c r="X286"/>
  <c r="Y285"/>
  <c r="X285"/>
  <c r="Z284"/>
  <c r="Y284"/>
  <c r="X284"/>
  <c r="Y279"/>
  <c r="X279"/>
  <c r="Y278"/>
  <c r="X278"/>
  <c r="Y277"/>
  <c r="X277"/>
  <c r="Y276"/>
  <c r="X276"/>
  <c r="Y257"/>
  <c r="X257"/>
  <c r="Y256"/>
  <c r="X256"/>
  <c r="Y255"/>
  <c r="X255"/>
  <c r="Z254"/>
  <c r="Y254"/>
  <c r="X254"/>
  <c r="Y249"/>
  <c r="X249"/>
  <c r="Y248"/>
  <c r="X248"/>
  <c r="Y247"/>
  <c r="X247"/>
  <c r="Y246"/>
  <c r="X246"/>
  <c r="Y227"/>
  <c r="X227"/>
  <c r="Y226"/>
  <c r="X226"/>
  <c r="Y225"/>
  <c r="X225"/>
  <c r="Z224"/>
  <c r="Y224"/>
  <c r="X224"/>
  <c r="Y219"/>
  <c r="X219"/>
  <c r="Y218"/>
  <c r="X218"/>
  <c r="Y217"/>
  <c r="X217"/>
  <c r="Y216"/>
  <c r="X216"/>
  <c r="Y197"/>
  <c r="X197"/>
  <c r="Y196"/>
  <c r="X196"/>
  <c r="Y195"/>
  <c r="X195"/>
  <c r="Z194"/>
  <c r="Y194"/>
  <c r="X194"/>
  <c r="Y189"/>
  <c r="X189"/>
  <c r="Y188"/>
  <c r="X188"/>
  <c r="Y187"/>
  <c r="X187"/>
  <c r="Y186"/>
  <c r="X186"/>
  <c r="Y167"/>
  <c r="X167"/>
  <c r="Y166"/>
  <c r="X166"/>
  <c r="Y165"/>
  <c r="X165"/>
  <c r="Z164"/>
  <c r="Y164"/>
  <c r="X164"/>
  <c r="Y159"/>
  <c r="X159"/>
  <c r="Y158"/>
  <c r="X158"/>
  <c r="Y157"/>
  <c r="X157"/>
  <c r="Y156"/>
  <c r="X156"/>
  <c r="Y137"/>
  <c r="X137"/>
  <c r="Y136"/>
  <c r="X136"/>
  <c r="Y135"/>
  <c r="X135"/>
  <c r="Z134"/>
  <c r="Y134"/>
  <c r="X134"/>
  <c r="Y130"/>
  <c r="Y129"/>
  <c r="X129"/>
  <c r="Y128"/>
  <c r="X128"/>
  <c r="Y127"/>
  <c r="X127"/>
  <c r="Y126"/>
  <c r="X140" s="1"/>
  <c r="X126"/>
  <c r="Y107"/>
  <c r="X107"/>
  <c r="Y106"/>
  <c r="X106"/>
  <c r="Y105"/>
  <c r="X105"/>
  <c r="Z104"/>
  <c r="Y104"/>
  <c r="X104"/>
  <c r="Y99"/>
  <c r="X99"/>
  <c r="Y98"/>
  <c r="X98"/>
  <c r="Y97"/>
  <c r="X97"/>
  <c r="Y96"/>
  <c r="X96"/>
  <c r="Y77"/>
  <c r="X77"/>
  <c r="Y76"/>
  <c r="X76"/>
  <c r="Y75"/>
  <c r="X75"/>
  <c r="Z74"/>
  <c r="Y74"/>
  <c r="X74"/>
  <c r="Y69"/>
  <c r="X69"/>
  <c r="Y68"/>
  <c r="X68"/>
  <c r="Y67"/>
  <c r="X67"/>
  <c r="Y66"/>
  <c r="X66"/>
  <c r="Y47"/>
  <c r="X47"/>
  <c r="Y46"/>
  <c r="X46"/>
  <c r="Y45"/>
  <c r="X45"/>
  <c r="Z44"/>
  <c r="Y44"/>
  <c r="X44"/>
  <c r="Y39"/>
  <c r="X39"/>
  <c r="Y38"/>
  <c r="X38"/>
  <c r="Y37"/>
  <c r="X37"/>
  <c r="Y36"/>
  <c r="X36"/>
  <c r="Y17"/>
  <c r="X17"/>
  <c r="Y16"/>
  <c r="X16"/>
  <c r="Y15"/>
  <c r="X15"/>
  <c r="Z14"/>
  <c r="Y14"/>
  <c r="X14"/>
  <c r="Y9"/>
  <c r="X9"/>
  <c r="Y8"/>
  <c r="X8"/>
  <c r="Y7"/>
  <c r="X7"/>
  <c r="Y6"/>
  <c r="X6"/>
  <c r="G17"/>
  <c r="F17"/>
  <c r="G16"/>
  <c r="F16"/>
  <c r="G15"/>
  <c r="F15"/>
  <c r="H14"/>
  <c r="G14"/>
  <c r="F14"/>
  <c r="G9"/>
  <c r="F9"/>
  <c r="G8"/>
  <c r="F8"/>
  <c r="G7"/>
  <c r="F7"/>
  <c r="G6"/>
  <c r="F6"/>
  <c r="G47"/>
  <c r="F47"/>
  <c r="G46"/>
  <c r="F46"/>
  <c r="G45"/>
  <c r="F45"/>
  <c r="H44"/>
  <c r="G44"/>
  <c r="F44"/>
  <c r="G39"/>
  <c r="F39"/>
  <c r="G38"/>
  <c r="F38"/>
  <c r="G37"/>
  <c r="F37"/>
  <c r="G36"/>
  <c r="F36"/>
  <c r="G77"/>
  <c r="F77"/>
  <c r="G76"/>
  <c r="F76"/>
  <c r="G75"/>
  <c r="F75"/>
  <c r="H74"/>
  <c r="G74"/>
  <c r="F74"/>
  <c r="G69"/>
  <c r="F69"/>
  <c r="G68"/>
  <c r="F68"/>
  <c r="G67"/>
  <c r="F67"/>
  <c r="G66"/>
  <c r="F66"/>
  <c r="G107"/>
  <c r="F107"/>
  <c r="G106"/>
  <c r="F106"/>
  <c r="G105"/>
  <c r="F105"/>
  <c r="H104"/>
  <c r="G104"/>
  <c r="F104"/>
  <c r="G99"/>
  <c r="F99"/>
  <c r="G98"/>
  <c r="F98"/>
  <c r="G97"/>
  <c r="F97"/>
  <c r="G96"/>
  <c r="F96"/>
  <c r="G137"/>
  <c r="F137"/>
  <c r="G136"/>
  <c r="F136"/>
  <c r="G135"/>
  <c r="F135"/>
  <c r="H134"/>
  <c r="G134"/>
  <c r="F134"/>
  <c r="G130"/>
  <c r="G129"/>
  <c r="F129"/>
  <c r="G128"/>
  <c r="F128"/>
  <c r="G127"/>
  <c r="F127"/>
  <c r="G126"/>
  <c r="F140" s="1"/>
  <c r="F126"/>
  <c r="G167"/>
  <c r="F167"/>
  <c r="G166"/>
  <c r="F166"/>
  <c r="G165"/>
  <c r="F165"/>
  <c r="H164"/>
  <c r="G164"/>
  <c r="F164"/>
  <c r="G159"/>
  <c r="F159"/>
  <c r="G158"/>
  <c r="F158"/>
  <c r="G157"/>
  <c r="F157"/>
  <c r="G156"/>
  <c r="G160" s="1"/>
  <c r="F156"/>
  <c r="G197"/>
  <c r="F197"/>
  <c r="G196"/>
  <c r="F196"/>
  <c r="G195"/>
  <c r="F195"/>
  <c r="H194"/>
  <c r="G194"/>
  <c r="F194"/>
  <c r="G189"/>
  <c r="F189"/>
  <c r="G188"/>
  <c r="F188"/>
  <c r="G187"/>
  <c r="F187"/>
  <c r="G186"/>
  <c r="F186"/>
  <c r="G227"/>
  <c r="F227"/>
  <c r="G226"/>
  <c r="F226"/>
  <c r="G225"/>
  <c r="F225"/>
  <c r="H224"/>
  <c r="G224"/>
  <c r="F224"/>
  <c r="G219"/>
  <c r="F219"/>
  <c r="G218"/>
  <c r="F218"/>
  <c r="G217"/>
  <c r="F217"/>
  <c r="G216"/>
  <c r="F216"/>
  <c r="G257"/>
  <c r="F257"/>
  <c r="G256"/>
  <c r="F256"/>
  <c r="G255"/>
  <c r="F255"/>
  <c r="H254"/>
  <c r="G254"/>
  <c r="F254"/>
  <c r="G249"/>
  <c r="F249"/>
  <c r="G248"/>
  <c r="F248"/>
  <c r="G247"/>
  <c r="F247"/>
  <c r="G246"/>
  <c r="F246"/>
  <c r="G287"/>
  <c r="F287"/>
  <c r="G286"/>
  <c r="F286"/>
  <c r="G285"/>
  <c r="F285"/>
  <c r="H284"/>
  <c r="G284"/>
  <c r="F284"/>
  <c r="G279"/>
  <c r="F279"/>
  <c r="G278"/>
  <c r="F278"/>
  <c r="G277"/>
  <c r="F277"/>
  <c r="G276"/>
  <c r="F276"/>
  <c r="G317"/>
  <c r="F317"/>
  <c r="G316"/>
  <c r="F316"/>
  <c r="G315"/>
  <c r="F315"/>
  <c r="H314"/>
  <c r="G314"/>
  <c r="F314"/>
  <c r="G309"/>
  <c r="F309"/>
  <c r="G308"/>
  <c r="F308"/>
  <c r="G307"/>
  <c r="F307"/>
  <c r="G306"/>
  <c r="F306"/>
  <c r="G347"/>
  <c r="F347"/>
  <c r="G346"/>
  <c r="F346"/>
  <c r="G345"/>
  <c r="F345"/>
  <c r="H344"/>
  <c r="G344"/>
  <c r="F344"/>
  <c r="G339"/>
  <c r="F339"/>
  <c r="G338"/>
  <c r="F338"/>
  <c r="G337"/>
  <c r="F337"/>
  <c r="G336"/>
  <c r="G340" s="1"/>
  <c r="F336"/>
  <c r="G377"/>
  <c r="F377"/>
  <c r="G376"/>
  <c r="F376"/>
  <c r="G375"/>
  <c r="F375"/>
  <c r="H374"/>
  <c r="G374"/>
  <c r="F374"/>
  <c r="G369"/>
  <c r="F369"/>
  <c r="G368"/>
  <c r="F368"/>
  <c r="G367"/>
  <c r="F367"/>
  <c r="G366"/>
  <c r="F366"/>
  <c r="G407"/>
  <c r="F407"/>
  <c r="G406"/>
  <c r="F406"/>
  <c r="G405"/>
  <c r="F405"/>
  <c r="H404"/>
  <c r="G404"/>
  <c r="F404"/>
  <c r="G399"/>
  <c r="F399"/>
  <c r="G398"/>
  <c r="F398"/>
  <c r="G397"/>
  <c r="F397"/>
  <c r="G396"/>
  <c r="F396"/>
  <c r="G437"/>
  <c r="F437"/>
  <c r="G436"/>
  <c r="F436"/>
  <c r="G435"/>
  <c r="F435"/>
  <c r="H434"/>
  <c r="G434"/>
  <c r="F434"/>
  <c r="G429"/>
  <c r="F429"/>
  <c r="G428"/>
  <c r="F428"/>
  <c r="G427"/>
  <c r="F427"/>
  <c r="G426"/>
  <c r="F426"/>
  <c r="G467"/>
  <c r="F467"/>
  <c r="G466"/>
  <c r="F466"/>
  <c r="G465"/>
  <c r="F465"/>
  <c r="H464"/>
  <c r="G464"/>
  <c r="F464"/>
  <c r="G459"/>
  <c r="F459"/>
  <c r="G458"/>
  <c r="F458"/>
  <c r="G457"/>
  <c r="F457"/>
  <c r="G456"/>
  <c r="F456"/>
  <c r="G497"/>
  <c r="F497"/>
  <c r="G496"/>
  <c r="F496"/>
  <c r="G495"/>
  <c r="F495"/>
  <c r="H494"/>
  <c r="G494"/>
  <c r="F494"/>
  <c r="G489"/>
  <c r="F489"/>
  <c r="G488"/>
  <c r="F488"/>
  <c r="G487"/>
  <c r="F487"/>
  <c r="G486"/>
  <c r="F486"/>
  <c r="G527"/>
  <c r="F527"/>
  <c r="G526"/>
  <c r="F526"/>
  <c r="G525"/>
  <c r="F525"/>
  <c r="H524"/>
  <c r="G524"/>
  <c r="F524"/>
  <c r="G520"/>
  <c r="G519"/>
  <c r="F519"/>
  <c r="G518"/>
  <c r="F518"/>
  <c r="G517"/>
  <c r="F517"/>
  <c r="G516"/>
  <c r="F530" s="1"/>
  <c r="F516"/>
  <c r="G557"/>
  <c r="F557"/>
  <c r="G556"/>
  <c r="F556"/>
  <c r="G555"/>
  <c r="F555"/>
  <c r="H554"/>
  <c r="G554"/>
  <c r="F554"/>
  <c r="G549"/>
  <c r="F549"/>
  <c r="G548"/>
  <c r="F548"/>
  <c r="G547"/>
  <c r="F547"/>
  <c r="G546"/>
  <c r="F546"/>
  <c r="G587"/>
  <c r="F587"/>
  <c r="G586"/>
  <c r="F586"/>
  <c r="G585"/>
  <c r="F585"/>
  <c r="H584"/>
  <c r="G584"/>
  <c r="F584"/>
  <c r="G579"/>
  <c r="F579"/>
  <c r="G578"/>
  <c r="F578"/>
  <c r="G577"/>
  <c r="F577"/>
  <c r="G576"/>
  <c r="F576"/>
  <c r="G617"/>
  <c r="F617"/>
  <c r="G616"/>
  <c r="F616"/>
  <c r="G615"/>
  <c r="F615"/>
  <c r="H614"/>
  <c r="G614"/>
  <c r="F614"/>
  <c r="G609"/>
  <c r="F609"/>
  <c r="G608"/>
  <c r="F608"/>
  <c r="G607"/>
  <c r="F607"/>
  <c r="G606"/>
  <c r="F606"/>
  <c r="G647"/>
  <c r="F647"/>
  <c r="G646"/>
  <c r="F646"/>
  <c r="G645"/>
  <c r="F645"/>
  <c r="H644"/>
  <c r="G644"/>
  <c r="F644"/>
  <c r="G639"/>
  <c r="F639"/>
  <c r="G638"/>
  <c r="F638"/>
  <c r="G637"/>
  <c r="F637"/>
  <c r="G636"/>
  <c r="F636"/>
  <c r="G677"/>
  <c r="F677"/>
  <c r="G676"/>
  <c r="F676"/>
  <c r="G675"/>
  <c r="F675"/>
  <c r="H674"/>
  <c r="G674"/>
  <c r="F674"/>
  <c r="G669"/>
  <c r="F669"/>
  <c r="G668"/>
  <c r="F668"/>
  <c r="G667"/>
  <c r="F667"/>
  <c r="G666"/>
  <c r="F666"/>
  <c r="G707"/>
  <c r="F707"/>
  <c r="G706"/>
  <c r="F706"/>
  <c r="G705"/>
  <c r="F705"/>
  <c r="H704"/>
  <c r="G704"/>
  <c r="F704"/>
  <c r="G699"/>
  <c r="F699"/>
  <c r="G698"/>
  <c r="F698"/>
  <c r="G697"/>
  <c r="F697"/>
  <c r="G696"/>
  <c r="F696"/>
  <c r="G737"/>
  <c r="F737"/>
  <c r="G736"/>
  <c r="F736"/>
  <c r="G735"/>
  <c r="F735"/>
  <c r="H734"/>
  <c r="G734"/>
  <c r="F734"/>
  <c r="G729"/>
  <c r="F729"/>
  <c r="G728"/>
  <c r="F728"/>
  <c r="G727"/>
  <c r="F727"/>
  <c r="G726"/>
  <c r="F726"/>
  <c r="F770"/>
  <c r="F773"/>
  <c r="P220" i="10"/>
  <c r="P219"/>
  <c r="P218"/>
  <c r="P217"/>
  <c r="P216"/>
  <c r="D626" i="37"/>
  <c r="P215" i="10"/>
  <c r="ER25" i="37"/>
  <c r="ER24"/>
  <c r="ER55"/>
  <c r="ER54"/>
  <c r="ER85"/>
  <c r="ER84"/>
  <c r="ER115"/>
  <c r="EF115"/>
  <c r="EF114"/>
  <c r="EF85"/>
  <c r="EF84"/>
  <c r="EF55"/>
  <c r="EF54"/>
  <c r="EF25"/>
  <c r="EF24"/>
  <c r="DT25"/>
  <c r="DT24"/>
  <c r="DH25"/>
  <c r="DH24"/>
  <c r="CV25"/>
  <c r="CV24"/>
  <c r="CF57"/>
  <c r="CF56"/>
  <c r="CF27"/>
  <c r="CF26"/>
  <c r="BJ628"/>
  <c r="BJ627"/>
  <c r="BJ598"/>
  <c r="BJ597"/>
  <c r="BJ568"/>
  <c r="BJ567"/>
  <c r="BJ538"/>
  <c r="BJ537"/>
  <c r="BJ508"/>
  <c r="BJ507"/>
  <c r="BJ478"/>
  <c r="BJ477"/>
  <c r="BJ448"/>
  <c r="BJ447"/>
  <c r="BJ418"/>
  <c r="BJ417"/>
  <c r="BJ388"/>
  <c r="BJ387"/>
  <c r="BJ358"/>
  <c r="BJ357"/>
  <c r="BJ328"/>
  <c r="BJ327"/>
  <c r="BJ298"/>
  <c r="BJ297"/>
  <c r="BJ268"/>
  <c r="BJ267"/>
  <c r="BJ237"/>
  <c r="BJ236"/>
  <c r="BJ207"/>
  <c r="BJ206"/>
  <c r="BJ177"/>
  <c r="BJ176"/>
  <c r="BJ147"/>
  <c r="BJ146"/>
  <c r="BJ117"/>
  <c r="BJ116"/>
  <c r="BJ87"/>
  <c r="BJ86"/>
  <c r="BJ57"/>
  <c r="BJ56"/>
  <c r="BJ27"/>
  <c r="BJ26"/>
  <c r="AM237"/>
  <c r="AM236"/>
  <c r="AM207"/>
  <c r="AM206"/>
  <c r="AM177"/>
  <c r="AM176"/>
  <c r="AM147"/>
  <c r="AM146"/>
  <c r="AM117"/>
  <c r="AM116"/>
  <c r="AM87"/>
  <c r="AM86"/>
  <c r="AM57"/>
  <c r="AM56"/>
  <c r="AM27"/>
  <c r="AM26"/>
  <c r="V297"/>
  <c r="V296"/>
  <c r="V267"/>
  <c r="V266"/>
  <c r="V237"/>
  <c r="V236"/>
  <c r="V207"/>
  <c r="V206"/>
  <c r="V177"/>
  <c r="V176"/>
  <c r="V147"/>
  <c r="V146"/>
  <c r="V117"/>
  <c r="V116"/>
  <c r="V87"/>
  <c r="V86"/>
  <c r="V57"/>
  <c r="V56"/>
  <c r="V27"/>
  <c r="V26"/>
  <c r="D27"/>
  <c r="D26"/>
  <c r="D57"/>
  <c r="D56"/>
  <c r="D87"/>
  <c r="D86"/>
  <c r="D117"/>
  <c r="D116"/>
  <c r="D147"/>
  <c r="D146"/>
  <c r="D177"/>
  <c r="D176"/>
  <c r="D207"/>
  <c r="D206"/>
  <c r="D237"/>
  <c r="D236"/>
  <c r="D267"/>
  <c r="D266"/>
  <c r="D297"/>
  <c r="D296"/>
  <c r="D327"/>
  <c r="D326"/>
  <c r="D357"/>
  <c r="D356"/>
  <c r="D387"/>
  <c r="D386"/>
  <c r="D417"/>
  <c r="D416"/>
  <c r="D447"/>
  <c r="D446"/>
  <c r="D477"/>
  <c r="D476"/>
  <c r="D507"/>
  <c r="D506"/>
  <c r="D537"/>
  <c r="D536"/>
  <c r="D567"/>
  <c r="D566"/>
  <c r="D597"/>
  <c r="D596"/>
  <c r="D627"/>
  <c r="D656"/>
  <c r="D717"/>
  <c r="D716"/>
  <c r="D747"/>
  <c r="D746"/>
  <c r="D777"/>
  <c r="L215" i="10"/>
  <c r="M215" s="1"/>
  <c r="L220"/>
  <c r="M220" s="1"/>
  <c r="J220"/>
  <c r="K220" s="1"/>
  <c r="L219"/>
  <c r="M219" s="1"/>
  <c r="J219"/>
  <c r="K219" s="1"/>
  <c r="L218"/>
  <c r="M218" s="1"/>
  <c r="J218"/>
  <c r="K218" s="1"/>
  <c r="L217"/>
  <c r="M217" s="1"/>
  <c r="J217"/>
  <c r="K217" s="1"/>
  <c r="L216"/>
  <c r="M216" s="1"/>
  <c r="J216"/>
  <c r="K216" s="1"/>
  <c r="J215"/>
  <c r="K215" s="1"/>
  <c r="I255"/>
  <c r="D384"/>
  <c r="D383"/>
  <c r="I256" s="1"/>
  <c r="D354"/>
  <c r="D353"/>
  <c r="D323"/>
  <c r="I254" s="1"/>
  <c r="D324"/>
  <c r="M305"/>
  <c r="M365"/>
  <c r="M335"/>
  <c r="D378"/>
  <c r="B388" s="1"/>
  <c r="B378"/>
  <c r="B385" s="1"/>
  <c r="D377"/>
  <c r="B387" s="1"/>
  <c r="B377"/>
  <c r="B384" s="1"/>
  <c r="D376"/>
  <c r="B386" s="1"/>
  <c r="B376"/>
  <c r="B383" s="1"/>
  <c r="D374"/>
  <c r="C374"/>
  <c r="B374"/>
  <c r="G373"/>
  <c r="F373"/>
  <c r="E373"/>
  <c r="J372"/>
  <c r="G372"/>
  <c r="F372"/>
  <c r="E372"/>
  <c r="J371"/>
  <c r="G371"/>
  <c r="F371"/>
  <c r="E371"/>
  <c r="B379" s="1"/>
  <c r="J370"/>
  <c r="D366"/>
  <c r="F366" s="1"/>
  <c r="C366"/>
  <c r="B366"/>
  <c r="G366" s="1"/>
  <c r="G365"/>
  <c r="F365"/>
  <c r="E365"/>
  <c r="G364"/>
  <c r="G367" s="1"/>
  <c r="F377" s="1"/>
  <c r="F364"/>
  <c r="E364"/>
  <c r="G363"/>
  <c r="F363"/>
  <c r="E363"/>
  <c r="D348"/>
  <c r="B358" s="1"/>
  <c r="B348"/>
  <c r="B355" s="1"/>
  <c r="D347"/>
  <c r="B357" s="1"/>
  <c r="B347"/>
  <c r="B354" s="1"/>
  <c r="D346"/>
  <c r="B356" s="1"/>
  <c r="B346"/>
  <c r="B353" s="1"/>
  <c r="D344"/>
  <c r="C344"/>
  <c r="B344"/>
  <c r="G343"/>
  <c r="F343"/>
  <c r="E343"/>
  <c r="J342"/>
  <c r="G342"/>
  <c r="F342"/>
  <c r="E342"/>
  <c r="J341"/>
  <c r="G341"/>
  <c r="E350" s="1"/>
  <c r="F341"/>
  <c r="E341"/>
  <c r="B349" s="1"/>
  <c r="J340"/>
  <c r="D336"/>
  <c r="F336" s="1"/>
  <c r="C336"/>
  <c r="B336"/>
  <c r="G336" s="1"/>
  <c r="G335"/>
  <c r="F335"/>
  <c r="E335"/>
  <c r="G334"/>
  <c r="G337" s="1"/>
  <c r="F347" s="1"/>
  <c r="F334"/>
  <c r="E334"/>
  <c r="G333"/>
  <c r="F333"/>
  <c r="E333"/>
  <c r="D318"/>
  <c r="B328" s="1"/>
  <c r="B318"/>
  <c r="B325" s="1"/>
  <c r="D317"/>
  <c r="B327" s="1"/>
  <c r="B317"/>
  <c r="B324" s="1"/>
  <c r="D316"/>
  <c r="B326" s="1"/>
  <c r="B316"/>
  <c r="B320" s="1"/>
  <c r="D314"/>
  <c r="C314"/>
  <c r="B314"/>
  <c r="G314" s="1"/>
  <c r="G313"/>
  <c r="F313"/>
  <c r="E313"/>
  <c r="G312"/>
  <c r="F312"/>
  <c r="E312"/>
  <c r="G311"/>
  <c r="F311"/>
  <c r="E311"/>
  <c r="D306"/>
  <c r="F306" s="1"/>
  <c r="C306"/>
  <c r="B306"/>
  <c r="G305"/>
  <c r="F305"/>
  <c r="E305"/>
  <c r="G304"/>
  <c r="M304" s="1"/>
  <c r="F304"/>
  <c r="E304"/>
  <c r="G303"/>
  <c r="F303"/>
  <c r="E303"/>
  <c r="E256"/>
  <c r="L231"/>
  <c r="M231" s="1"/>
  <c r="J244"/>
  <c r="K244" s="1"/>
  <c r="J243"/>
  <c r="F256" s="1"/>
  <c r="J242"/>
  <c r="K242" s="1"/>
  <c r="J241"/>
  <c r="K241" s="1"/>
  <c r="J240"/>
  <c r="K240" s="1"/>
  <c r="J239"/>
  <c r="K239" s="1"/>
  <c r="J238"/>
  <c r="F255" s="1"/>
  <c r="J237"/>
  <c r="K237" s="1"/>
  <c r="J236"/>
  <c r="K236" s="1"/>
  <c r="J235"/>
  <c r="K235" s="1"/>
  <c r="J234"/>
  <c r="K234" s="1"/>
  <c r="J233"/>
  <c r="F254" s="1"/>
  <c r="J232"/>
  <c r="K232" s="1"/>
  <c r="J231"/>
  <c r="K231" s="1"/>
  <c r="J230"/>
  <c r="K230" s="1"/>
  <c r="I231"/>
  <c r="G760" i="37"/>
  <c r="G231" i="10"/>
  <c r="F231"/>
  <c r="E231"/>
  <c r="D231"/>
  <c r="C231"/>
  <c r="B231"/>
  <c r="J765" i="37"/>
  <c r="J764"/>
  <c r="J763"/>
  <c r="D771"/>
  <c r="B781" s="1"/>
  <c r="B771"/>
  <c r="B778" s="1"/>
  <c r="D770"/>
  <c r="B780" s="1"/>
  <c r="B770"/>
  <c r="B777" s="1"/>
  <c r="D769"/>
  <c r="B779" s="1"/>
  <c r="B769"/>
  <c r="B776" s="1"/>
  <c r="D767"/>
  <c r="C767"/>
  <c r="B767"/>
  <c r="G767" s="1"/>
  <c r="G766"/>
  <c r="F766"/>
  <c r="E766"/>
  <c r="G765"/>
  <c r="F765"/>
  <c r="E765"/>
  <c r="G764"/>
  <c r="F764"/>
  <c r="E764"/>
  <c r="D759"/>
  <c r="C759"/>
  <c r="B759"/>
  <c r="G758"/>
  <c r="F758"/>
  <c r="E758"/>
  <c r="G757"/>
  <c r="F757"/>
  <c r="E757"/>
  <c r="G756"/>
  <c r="F756"/>
  <c r="E756"/>
  <c r="G232" i="10"/>
  <c r="F232"/>
  <c r="E232"/>
  <c r="D232"/>
  <c r="J735" i="37"/>
  <c r="J734"/>
  <c r="J733"/>
  <c r="D741"/>
  <c r="B751" s="1"/>
  <c r="B741"/>
  <c r="B748" s="1"/>
  <c r="D740"/>
  <c r="B750" s="1"/>
  <c r="B740"/>
  <c r="B747" s="1"/>
  <c r="D739"/>
  <c r="B749" s="1"/>
  <c r="D737"/>
  <c r="C737"/>
  <c r="E736"/>
  <c r="E735"/>
  <c r="D742" s="1"/>
  <c r="B737"/>
  <c r="D729"/>
  <c r="C729"/>
  <c r="E728"/>
  <c r="E727"/>
  <c r="G230" i="10"/>
  <c r="F230"/>
  <c r="E230"/>
  <c r="D230"/>
  <c r="B704" i="37"/>
  <c r="B696"/>
  <c r="B699" s="1"/>
  <c r="J705"/>
  <c r="J704"/>
  <c r="J703"/>
  <c r="J675"/>
  <c r="J674"/>
  <c r="J673"/>
  <c r="D711"/>
  <c r="B721" s="1"/>
  <c r="B711"/>
  <c r="B718" s="1"/>
  <c r="D710"/>
  <c r="B720" s="1"/>
  <c r="B710"/>
  <c r="B717" s="1"/>
  <c r="D709"/>
  <c r="B719" s="1"/>
  <c r="B709"/>
  <c r="B716" s="1"/>
  <c r="D707"/>
  <c r="C707"/>
  <c r="B707"/>
  <c r="E706"/>
  <c r="E705"/>
  <c r="E704"/>
  <c r="D699"/>
  <c r="C699"/>
  <c r="E698"/>
  <c r="E697"/>
  <c r="D712" s="1"/>
  <c r="E696"/>
  <c r="G234" i="10"/>
  <c r="F234"/>
  <c r="E234"/>
  <c r="D234"/>
  <c r="D681" i="37"/>
  <c r="B691" s="1"/>
  <c r="B681"/>
  <c r="B688" s="1"/>
  <c r="D680"/>
  <c r="B690" s="1"/>
  <c r="B680"/>
  <c r="B687" s="1"/>
  <c r="D679"/>
  <c r="B689" s="1"/>
  <c r="B679"/>
  <c r="B686" s="1"/>
  <c r="D677"/>
  <c r="C677"/>
  <c r="B677"/>
  <c r="E676"/>
  <c r="E675"/>
  <c r="E674"/>
  <c r="D669"/>
  <c r="C669"/>
  <c r="B669"/>
  <c r="E668"/>
  <c r="E667"/>
  <c r="E666"/>
  <c r="EL103"/>
  <c r="EL102"/>
  <c r="EL101"/>
  <c r="G240" i="10"/>
  <c r="F240"/>
  <c r="E240"/>
  <c r="D240"/>
  <c r="EF109" i="37"/>
  <c r="ED119" s="1"/>
  <c r="ED109"/>
  <c r="ED116" s="1"/>
  <c r="EF108"/>
  <c r="ED118" s="1"/>
  <c r="ED108"/>
  <c r="ED115" s="1"/>
  <c r="EF107"/>
  <c r="ED117" s="1"/>
  <c r="ED107"/>
  <c r="ED114" s="1"/>
  <c r="EF105"/>
  <c r="EE105"/>
  <c r="ED105"/>
  <c r="EG104"/>
  <c r="EG103"/>
  <c r="EG102"/>
  <c r="EF97"/>
  <c r="EE97"/>
  <c r="ED97"/>
  <c r="EG96"/>
  <c r="EG95"/>
  <c r="EG94"/>
  <c r="ED110" s="1"/>
  <c r="G244" i="10"/>
  <c r="F244"/>
  <c r="E244"/>
  <c r="D244"/>
  <c r="ER102" i="37"/>
  <c r="EQ102"/>
  <c r="EP104"/>
  <c r="EP103"/>
  <c r="EP102"/>
  <c r="ER94"/>
  <c r="EQ94"/>
  <c r="EP96"/>
  <c r="EP95"/>
  <c r="EP94"/>
  <c r="EX103"/>
  <c r="EX102"/>
  <c r="EX101"/>
  <c r="ER109"/>
  <c r="EP119" s="1"/>
  <c r="EP109"/>
  <c r="EP116" s="1"/>
  <c r="ER108"/>
  <c r="EP118" s="1"/>
  <c r="EP108"/>
  <c r="EP115" s="1"/>
  <c r="ER107"/>
  <c r="EP117" s="1"/>
  <c r="ER105"/>
  <c r="EQ105"/>
  <c r="EP105"/>
  <c r="ES104"/>
  <c r="ES103"/>
  <c r="ER97"/>
  <c r="EQ97"/>
  <c r="EP97"/>
  <c r="ES96"/>
  <c r="ES95"/>
  <c r="G243" i="10"/>
  <c r="D256" s="1"/>
  <c r="F243"/>
  <c r="C256" s="1"/>
  <c r="E243"/>
  <c r="D243"/>
  <c r="EX73" i="37"/>
  <c r="EX72"/>
  <c r="EX71"/>
  <c r="ER79"/>
  <c r="EP89" s="1"/>
  <c r="EP79"/>
  <c r="EP86" s="1"/>
  <c r="ER78"/>
  <c r="EP88" s="1"/>
  <c r="EP78"/>
  <c r="EP85" s="1"/>
  <c r="ER77"/>
  <c r="EP87" s="1"/>
  <c r="EP77"/>
  <c r="EP84" s="1"/>
  <c r="ER75"/>
  <c r="EQ75"/>
  <c r="EP75"/>
  <c r="ES74"/>
  <c r="ES73"/>
  <c r="ES72"/>
  <c r="ER67"/>
  <c r="EQ67"/>
  <c r="EP67"/>
  <c r="ES66"/>
  <c r="ES65"/>
  <c r="ES64"/>
  <c r="A256" i="10"/>
  <c r="E255"/>
  <c r="A255"/>
  <c r="E254"/>
  <c r="A254"/>
  <c r="G242"/>
  <c r="F242"/>
  <c r="E242"/>
  <c r="D242"/>
  <c r="G241"/>
  <c r="F241"/>
  <c r="E241"/>
  <c r="D241"/>
  <c r="G239"/>
  <c r="F239"/>
  <c r="E239"/>
  <c r="D239"/>
  <c r="G238"/>
  <c r="D255" s="1"/>
  <c r="F238"/>
  <c r="C255" s="1"/>
  <c r="E238"/>
  <c r="D238"/>
  <c r="G237"/>
  <c r="F237"/>
  <c r="E237"/>
  <c r="D237"/>
  <c r="G236"/>
  <c r="F236"/>
  <c r="E236"/>
  <c r="D236"/>
  <c r="G235"/>
  <c r="F235"/>
  <c r="E235"/>
  <c r="D235"/>
  <c r="G233"/>
  <c r="D254" s="1"/>
  <c r="D258" s="1"/>
  <c r="F233"/>
  <c r="C254" s="1"/>
  <c r="E233"/>
  <c r="D233"/>
  <c r="EX43" i="37"/>
  <c r="EX42"/>
  <c r="EX41"/>
  <c r="ER49"/>
  <c r="EP59" s="1"/>
  <c r="EP49"/>
  <c r="EP56" s="1"/>
  <c r="ER48"/>
  <c r="EP58" s="1"/>
  <c r="EP48"/>
  <c r="EP55" s="1"/>
  <c r="ER47"/>
  <c r="EP57" s="1"/>
  <c r="EP47"/>
  <c r="EP54" s="1"/>
  <c r="ER45"/>
  <c r="EQ45"/>
  <c r="EP45"/>
  <c r="ES44"/>
  <c r="ES43"/>
  <c r="ES42"/>
  <c r="ER37"/>
  <c r="EQ37"/>
  <c r="EP37"/>
  <c r="ES36"/>
  <c r="ES35"/>
  <c r="ES34"/>
  <c r="EL73"/>
  <c r="EL72"/>
  <c r="EL71"/>
  <c r="EF79"/>
  <c r="ED89" s="1"/>
  <c r="EF78"/>
  <c r="ED88" s="1"/>
  <c r="EF75"/>
  <c r="ED79"/>
  <c r="ED86" s="1"/>
  <c r="EG73"/>
  <c r="ED78"/>
  <c r="ED85" s="1"/>
  <c r="EF77"/>
  <c r="ED77"/>
  <c r="EG66"/>
  <c r="EG65"/>
  <c r="EF67"/>
  <c r="EE67"/>
  <c r="ED67"/>
  <c r="EF42"/>
  <c r="EE42"/>
  <c r="ED44"/>
  <c r="ED43"/>
  <c r="ED42"/>
  <c r="EF34"/>
  <c r="EE34"/>
  <c r="ED36"/>
  <c r="ED35"/>
  <c r="ED34"/>
  <c r="EL43"/>
  <c r="EL42"/>
  <c r="EL41"/>
  <c r="EF49"/>
  <c r="ED59" s="1"/>
  <c r="ED49"/>
  <c r="ED56" s="1"/>
  <c r="EF48"/>
  <c r="ED58" s="1"/>
  <c r="ED48"/>
  <c r="ED55" s="1"/>
  <c r="EF47"/>
  <c r="ED57" s="1"/>
  <c r="ED47"/>
  <c r="ED54" s="1"/>
  <c r="EF45"/>
  <c r="EE45"/>
  <c r="ED45"/>
  <c r="EG44"/>
  <c r="EG43"/>
  <c r="EG42"/>
  <c r="EF37"/>
  <c r="EE37"/>
  <c r="ED37"/>
  <c r="EG36"/>
  <c r="EG35"/>
  <c r="EG34"/>
  <c r="BP586"/>
  <c r="BP585"/>
  <c r="BP584"/>
  <c r="BJ622"/>
  <c r="BH632" s="1"/>
  <c r="BH622"/>
  <c r="BH629" s="1"/>
  <c r="BJ621"/>
  <c r="BH631" s="1"/>
  <c r="BH621"/>
  <c r="BH628" s="1"/>
  <c r="BJ620"/>
  <c r="BH630" s="1"/>
  <c r="BH620"/>
  <c r="BH627" s="1"/>
  <c r="BH633" s="1"/>
  <c r="BJ618"/>
  <c r="BI618"/>
  <c r="BH618"/>
  <c r="BK617"/>
  <c r="BP616"/>
  <c r="BK616"/>
  <c r="BJ623" s="1"/>
  <c r="BP615"/>
  <c r="BK615"/>
  <c r="BH623" s="1"/>
  <c r="BP614"/>
  <c r="BJ610"/>
  <c r="BI610"/>
  <c r="BH610"/>
  <c r="BK609"/>
  <c r="BK608"/>
  <c r="BK621"/>
  <c r="B238" i="10" s="1"/>
  <c r="B255" s="1"/>
  <c r="BK607" i="37"/>
  <c r="BJ592"/>
  <c r="BH602" s="1"/>
  <c r="BH592"/>
  <c r="BH599" s="1"/>
  <c r="BJ591"/>
  <c r="BH601" s="1"/>
  <c r="BH591"/>
  <c r="BH598" s="1"/>
  <c r="BJ590"/>
  <c r="BH600" s="1"/>
  <c r="BJ588"/>
  <c r="BI588"/>
  <c r="BH588"/>
  <c r="BK587"/>
  <c r="BK586"/>
  <c r="BK585"/>
  <c r="BH590"/>
  <c r="BJ580"/>
  <c r="BI580"/>
  <c r="BK579"/>
  <c r="BK578"/>
  <c r="BK577"/>
  <c r="BH580"/>
  <c r="BH555"/>
  <c r="BH547"/>
  <c r="BP556"/>
  <c r="BP555"/>
  <c r="BP554"/>
  <c r="BJ562"/>
  <c r="BH572" s="1"/>
  <c r="BH562"/>
  <c r="BH569" s="1"/>
  <c r="BJ561"/>
  <c r="BH571" s="1"/>
  <c r="BJ558"/>
  <c r="BK557"/>
  <c r="BH558"/>
  <c r="BJ560"/>
  <c r="BH560"/>
  <c r="BJ550"/>
  <c r="BK549"/>
  <c r="BI550"/>
  <c r="BH550"/>
  <c r="BI525"/>
  <c r="BH526"/>
  <c r="BH525"/>
  <c r="BK531"/>
  <c r="BI517"/>
  <c r="BH518"/>
  <c r="BH517"/>
  <c r="BH530" s="1"/>
  <c r="BH537" s="1"/>
  <c r="BP526"/>
  <c r="BP525"/>
  <c r="BP524"/>
  <c r="BJ532"/>
  <c r="BH542" s="1"/>
  <c r="BH532"/>
  <c r="BJ531"/>
  <c r="BH541" s="1"/>
  <c r="BH531"/>
  <c r="BH538" s="1"/>
  <c r="BJ530"/>
  <c r="BH540" s="1"/>
  <c r="BJ528"/>
  <c r="BI528"/>
  <c r="BH528"/>
  <c r="BK527"/>
  <c r="BK526"/>
  <c r="BK525"/>
  <c r="BJ520"/>
  <c r="BI520"/>
  <c r="BH520"/>
  <c r="BK519"/>
  <c r="BK518"/>
  <c r="D651"/>
  <c r="B661" s="1"/>
  <c r="B651"/>
  <c r="D650"/>
  <c r="B660" s="1"/>
  <c r="B650"/>
  <c r="B657" s="1"/>
  <c r="D649"/>
  <c r="B659" s="1"/>
  <c r="B649"/>
  <c r="B656" s="1"/>
  <c r="D647"/>
  <c r="C647"/>
  <c r="B647"/>
  <c r="E646"/>
  <c r="E645"/>
  <c r="E653"/>
  <c r="C233" i="10" s="1"/>
  <c r="E644" i="37"/>
  <c r="D639"/>
  <c r="C639"/>
  <c r="B639"/>
  <c r="E638"/>
  <c r="E637"/>
  <c r="E650"/>
  <c r="E636"/>
  <c r="G220" i="10"/>
  <c r="ER19" i="37"/>
  <c r="EP29" s="1"/>
  <c r="EP19"/>
  <c r="ER18"/>
  <c r="EP28" s="1"/>
  <c r="EP18"/>
  <c r="EP25" s="1"/>
  <c r="ER17"/>
  <c r="EP27" s="1"/>
  <c r="EP17"/>
  <c r="EP24" s="1"/>
  <c r="ER15"/>
  <c r="EQ15"/>
  <c r="EP15"/>
  <c r="ES14"/>
  <c r="ES13"/>
  <c r="EX12"/>
  <c r="EX13" s="1"/>
  <c r="ES21"/>
  <c r="ES12"/>
  <c r="ER7"/>
  <c r="EQ7"/>
  <c r="EP7"/>
  <c r="ES6"/>
  <c r="ES5"/>
  <c r="ES18"/>
  <c r="B220" i="10" s="1"/>
  <c r="I220" s="1"/>
  <c r="ES4" i="37"/>
  <c r="G219" i="10"/>
  <c r="F219"/>
  <c r="E219"/>
  <c r="D219"/>
  <c r="EF19" i="37"/>
  <c r="ED29" s="1"/>
  <c r="ED19"/>
  <c r="ED26" s="1"/>
  <c r="EF18"/>
  <c r="ED28" s="1"/>
  <c r="ED18"/>
  <c r="ED25" s="1"/>
  <c r="EF17"/>
  <c r="ED27" s="1"/>
  <c r="ED17"/>
  <c r="ED21" s="1"/>
  <c r="EF15"/>
  <c r="EE15"/>
  <c r="ED15"/>
  <c r="EG14"/>
  <c r="EG13"/>
  <c r="EL12"/>
  <c r="EL13" s="1"/>
  <c r="EG12"/>
  <c r="EF7"/>
  <c r="EE7"/>
  <c r="ED7"/>
  <c r="EG6"/>
  <c r="EG5"/>
  <c r="EG4"/>
  <c r="G218" i="10"/>
  <c r="F218"/>
  <c r="E218"/>
  <c r="D218"/>
  <c r="G217"/>
  <c r="F217"/>
  <c r="E217"/>
  <c r="D217"/>
  <c r="G216"/>
  <c r="F216"/>
  <c r="E216"/>
  <c r="D216"/>
  <c r="F215"/>
  <c r="E215"/>
  <c r="D215"/>
  <c r="L605" i="37"/>
  <c r="G215" i="10" s="1"/>
  <c r="DT19" i="37"/>
  <c r="DR29" s="1"/>
  <c r="DR19"/>
  <c r="DR26" s="1"/>
  <c r="DT18"/>
  <c r="DR28" s="1"/>
  <c r="DR18"/>
  <c r="DR25" s="1"/>
  <c r="DT17"/>
  <c r="DR27" s="1"/>
  <c r="DT15"/>
  <c r="DS15"/>
  <c r="DU14"/>
  <c r="DU13"/>
  <c r="DZ12"/>
  <c r="DZ13" s="1"/>
  <c r="DT7"/>
  <c r="DS7"/>
  <c r="DU6"/>
  <c r="DU5"/>
  <c r="DR7"/>
  <c r="DF12"/>
  <c r="DF4"/>
  <c r="DH19"/>
  <c r="DF29" s="1"/>
  <c r="DF19"/>
  <c r="DH18"/>
  <c r="DF28" s="1"/>
  <c r="DF18"/>
  <c r="DF25" s="1"/>
  <c r="DH17"/>
  <c r="DF27" s="1"/>
  <c r="DF17"/>
  <c r="DF24" s="1"/>
  <c r="DH15"/>
  <c r="DG15"/>
  <c r="DF15"/>
  <c r="DI14"/>
  <c r="DI13"/>
  <c r="DN12"/>
  <c r="DN13" s="1"/>
  <c r="DI21"/>
  <c r="C217" i="10" s="1"/>
  <c r="DI12" i="37"/>
  <c r="DH7"/>
  <c r="DG7"/>
  <c r="DF7"/>
  <c r="DI6"/>
  <c r="DI5"/>
  <c r="BJ502"/>
  <c r="BH512" s="1"/>
  <c r="BH502"/>
  <c r="BJ501"/>
  <c r="BH511" s="1"/>
  <c r="BH501"/>
  <c r="BH508" s="1"/>
  <c r="BJ500"/>
  <c r="BH510" s="1"/>
  <c r="BH500"/>
  <c r="BH507" s="1"/>
  <c r="BJ498"/>
  <c r="BI498"/>
  <c r="BH498"/>
  <c r="BK497"/>
  <c r="BK496"/>
  <c r="BP495"/>
  <c r="BP496" s="1"/>
  <c r="BK495"/>
  <c r="BJ490"/>
  <c r="BI490"/>
  <c r="BH490"/>
  <c r="BK489"/>
  <c r="BK488"/>
  <c r="BK487"/>
  <c r="D621"/>
  <c r="B631" s="1"/>
  <c r="B621"/>
  <c r="B628" s="1"/>
  <c r="D620"/>
  <c r="B630" s="1"/>
  <c r="B620"/>
  <c r="B627" s="1"/>
  <c r="D619"/>
  <c r="B629" s="1"/>
  <c r="B619"/>
  <c r="B623" s="1"/>
  <c r="D617"/>
  <c r="C617"/>
  <c r="B617"/>
  <c r="E616"/>
  <c r="E615"/>
  <c r="J614"/>
  <c r="J615" s="1"/>
  <c r="E614"/>
  <c r="D609"/>
  <c r="C609"/>
  <c r="B609"/>
  <c r="E608"/>
  <c r="E607"/>
  <c r="E606"/>
  <c r="DD3"/>
  <c r="CT12"/>
  <c r="CT4"/>
  <c r="CV19"/>
  <c r="CT29" s="1"/>
  <c r="CT19"/>
  <c r="CT26" s="1"/>
  <c r="CV18"/>
  <c r="CT28" s="1"/>
  <c r="CT18"/>
  <c r="CT25" s="1"/>
  <c r="CV17"/>
  <c r="CT27" s="1"/>
  <c r="CT17"/>
  <c r="CT24" s="1"/>
  <c r="CT30" s="1"/>
  <c r="CV15"/>
  <c r="CU15"/>
  <c r="CT15"/>
  <c r="CW14"/>
  <c r="CW13"/>
  <c r="DB12"/>
  <c r="DB13" s="1"/>
  <c r="CW21"/>
  <c r="CW12"/>
  <c r="CV7"/>
  <c r="CU7"/>
  <c r="CT7"/>
  <c r="CW6"/>
  <c r="CW5"/>
  <c r="CW18"/>
  <c r="CW4"/>
  <c r="BJ472"/>
  <c r="BH482" s="1"/>
  <c r="BH472"/>
  <c r="BH479" s="1"/>
  <c r="BJ471"/>
  <c r="BH481" s="1"/>
  <c r="BH471"/>
  <c r="BH478" s="1"/>
  <c r="BJ470"/>
  <c r="BH480" s="1"/>
  <c r="BH470"/>
  <c r="BH477" s="1"/>
  <c r="BH483" s="1"/>
  <c r="BJ468"/>
  <c r="BI468"/>
  <c r="BH468"/>
  <c r="BK467"/>
  <c r="BK466"/>
  <c r="BP465"/>
  <c r="BP466" s="1"/>
  <c r="BK465"/>
  <c r="BJ460"/>
  <c r="BI460"/>
  <c r="BH460"/>
  <c r="BK459"/>
  <c r="BK458"/>
  <c r="BK471"/>
  <c r="BK457"/>
  <c r="E593"/>
  <c r="E590"/>
  <c r="BP435"/>
  <c r="BP436" s="1"/>
  <c r="BJ442"/>
  <c r="BH452" s="1"/>
  <c r="BH442"/>
  <c r="BH449" s="1"/>
  <c r="BJ441"/>
  <c r="BH451" s="1"/>
  <c r="BH441"/>
  <c r="BH448" s="1"/>
  <c r="BJ440"/>
  <c r="BH450" s="1"/>
  <c r="BH440"/>
  <c r="BH447" s="1"/>
  <c r="BH453" s="1"/>
  <c r="BJ438"/>
  <c r="BI438"/>
  <c r="BH438"/>
  <c r="BK437"/>
  <c r="BK436"/>
  <c r="BK444"/>
  <c r="BK435"/>
  <c r="BJ430"/>
  <c r="BI430"/>
  <c r="BH430"/>
  <c r="BK429"/>
  <c r="BK428"/>
  <c r="BK441"/>
  <c r="BK427"/>
  <c r="D591"/>
  <c r="B601" s="1"/>
  <c r="B591"/>
  <c r="B598" s="1"/>
  <c r="D590"/>
  <c r="B600" s="1"/>
  <c r="B590"/>
  <c r="B597" s="1"/>
  <c r="D589"/>
  <c r="B599" s="1"/>
  <c r="B589"/>
  <c r="B596" s="1"/>
  <c r="B602" s="1"/>
  <c r="D587"/>
  <c r="C587"/>
  <c r="B587"/>
  <c r="E586"/>
  <c r="E585"/>
  <c r="J584"/>
  <c r="J585" s="1"/>
  <c r="E584"/>
  <c r="D579"/>
  <c r="C579"/>
  <c r="B579"/>
  <c r="E578"/>
  <c r="E577"/>
  <c r="E576"/>
  <c r="D8" i="42"/>
  <c r="E8" s="1"/>
  <c r="C9" s="1"/>
  <c r="D7"/>
  <c r="D69" i="40"/>
  <c r="C24"/>
  <c r="D8"/>
  <c r="E8" s="1"/>
  <c r="C9" s="1"/>
  <c r="D7"/>
  <c r="Z465" i="10" l="1"/>
  <c r="N464"/>
  <c r="Q464"/>
  <c r="S464"/>
  <c r="Z464"/>
  <c r="P463"/>
  <c r="Q463"/>
  <c r="R463"/>
  <c r="S463"/>
  <c r="AD473"/>
  <c r="AF471"/>
  <c r="AF472" s="1"/>
  <c r="AF473" s="1"/>
  <c r="AF474" s="1"/>
  <c r="AF437"/>
  <c r="AF438" s="1"/>
  <c r="AF439" s="1"/>
  <c r="AF440" s="1"/>
  <c r="AF441" s="1"/>
  <c r="AF442" s="1"/>
  <c r="AF443" s="1"/>
  <c r="AF444" s="1"/>
  <c r="AE437"/>
  <c r="AE438" s="1"/>
  <c r="AE439" s="1"/>
  <c r="AE440" s="1"/>
  <c r="AE441" s="1"/>
  <c r="AE442" s="1"/>
  <c r="AE443" s="1"/>
  <c r="AE444" s="1"/>
  <c r="AD404"/>
  <c r="AG426"/>
  <c r="AG402"/>
  <c r="AF403"/>
  <c r="AF404" s="1"/>
  <c r="AF415" s="1"/>
  <c r="AF416" s="1"/>
  <c r="AF417" s="1"/>
  <c r="AF418" s="1"/>
  <c r="AF419" s="1"/>
  <c r="AF420" s="1"/>
  <c r="AF421" s="1"/>
  <c r="AF422" s="1"/>
  <c r="AD427"/>
  <c r="AG425"/>
  <c r="AG434"/>
  <c r="AD435"/>
  <c r="AG433"/>
  <c r="AD415"/>
  <c r="AG414"/>
  <c r="AE415"/>
  <c r="AE416" s="1"/>
  <c r="AE417" s="1"/>
  <c r="AE418" s="1"/>
  <c r="AE419" s="1"/>
  <c r="AE420" s="1"/>
  <c r="AE421" s="1"/>
  <c r="AE422" s="1"/>
  <c r="B34" i="45"/>
  <c r="C34"/>
  <c r="F7"/>
  <c r="J7"/>
  <c r="D10"/>
  <c r="E10"/>
  <c r="Q10"/>
  <c r="R10"/>
  <c r="D11"/>
  <c r="Q11"/>
  <c r="Q12" s="1"/>
  <c r="B5" s="1"/>
  <c r="R11"/>
  <c r="D12"/>
  <c r="D30" s="1"/>
  <c r="C13"/>
  <c r="B14"/>
  <c r="G15"/>
  <c r="N221" i="10"/>
  <c r="O221" s="1"/>
  <c r="N222"/>
  <c r="O222" s="1"/>
  <c r="M221"/>
  <c r="H257"/>
  <c r="FG255" i="37"/>
  <c r="FF255"/>
  <c r="FF247"/>
  <c r="FG247"/>
  <c r="FB260"/>
  <c r="FE247"/>
  <c r="FE255"/>
  <c r="FE258"/>
  <c r="FD261"/>
  <c r="FB264"/>
  <c r="FB270" s="1"/>
  <c r="FG248"/>
  <c r="FF258" s="1"/>
  <c r="FG256"/>
  <c r="FE262" s="1"/>
  <c r="K233" i="10"/>
  <c r="D349"/>
  <c r="B350"/>
  <c r="K238"/>
  <c r="E317"/>
  <c r="G306"/>
  <c r="B319"/>
  <c r="E320"/>
  <c r="E347"/>
  <c r="E348" s="1"/>
  <c r="G344"/>
  <c r="F344"/>
  <c r="E377"/>
  <c r="E378" s="1"/>
  <c r="G374"/>
  <c r="F374"/>
  <c r="M334"/>
  <c r="M364"/>
  <c r="M248"/>
  <c r="K243"/>
  <c r="D319"/>
  <c r="F314"/>
  <c r="E380"/>
  <c r="D379"/>
  <c r="B380"/>
  <c r="FG217" i="37"/>
  <c r="FE217"/>
  <c r="FB231"/>
  <c r="D222" i="10" s="1"/>
  <c r="FB234" i="37"/>
  <c r="FF214"/>
  <c r="FE222"/>
  <c r="FG222"/>
  <c r="FF224"/>
  <c r="FB225"/>
  <c r="FD225"/>
  <c r="FD227"/>
  <c r="FE214"/>
  <c r="FG214"/>
  <c r="FE215"/>
  <c r="FD230" s="1"/>
  <c r="FE216"/>
  <c r="FF223"/>
  <c r="FE224"/>
  <c r="FG224"/>
  <c r="FC225"/>
  <c r="FB197"/>
  <c r="FG187"/>
  <c r="FB204"/>
  <c r="FE184"/>
  <c r="FG184"/>
  <c r="FE185"/>
  <c r="FD200" s="1"/>
  <c r="FG185"/>
  <c r="FE186"/>
  <c r="FD187"/>
  <c r="FF187" s="1"/>
  <c r="FF193"/>
  <c r="FE194"/>
  <c r="FG194"/>
  <c r="FC195"/>
  <c r="FF195" s="1"/>
  <c r="FB199"/>
  <c r="FB206" s="1"/>
  <c r="FE192"/>
  <c r="FG192"/>
  <c r="FF194"/>
  <c r="FD197"/>
  <c r="FF162"/>
  <c r="FB165"/>
  <c r="FB157"/>
  <c r="FB168"/>
  <c r="FB175" s="1"/>
  <c r="FG157"/>
  <c r="FB174"/>
  <c r="FE154"/>
  <c r="FG154"/>
  <c r="FE155"/>
  <c r="FD170" s="1"/>
  <c r="FE156"/>
  <c r="FD157"/>
  <c r="FF157" s="1"/>
  <c r="FF163"/>
  <c r="FE164"/>
  <c r="FG164"/>
  <c r="FC165"/>
  <c r="FB169"/>
  <c r="FB176" s="1"/>
  <c r="FE162"/>
  <c r="FG162"/>
  <c r="FF164"/>
  <c r="FD167"/>
  <c r="FF127"/>
  <c r="FD140"/>
  <c r="FG127"/>
  <c r="FE127"/>
  <c r="J249" i="10" s="1"/>
  <c r="K249" s="1"/>
  <c r="FF135" i="37"/>
  <c r="FE124"/>
  <c r="FB140" s="1"/>
  <c r="FG124"/>
  <c r="FF132"/>
  <c r="FE135"/>
  <c r="FB137"/>
  <c r="FD141"/>
  <c r="E249" i="10" s="1"/>
  <c r="FG136" i="37"/>
  <c r="FE142" s="1"/>
  <c r="FG105"/>
  <c r="FF105"/>
  <c r="FG97"/>
  <c r="FF97"/>
  <c r="FD110"/>
  <c r="FB110"/>
  <c r="FB111"/>
  <c r="FB120"/>
  <c r="FE97"/>
  <c r="FE105"/>
  <c r="FE108"/>
  <c r="FD111"/>
  <c r="FG98"/>
  <c r="FF108" s="1"/>
  <c r="FG106"/>
  <c r="FE112" s="1"/>
  <c r="FG75"/>
  <c r="FF75"/>
  <c r="FG67"/>
  <c r="FF67"/>
  <c r="FG68"/>
  <c r="FF78" s="1"/>
  <c r="FD80"/>
  <c r="FB80"/>
  <c r="FB81"/>
  <c r="FB90"/>
  <c r="FE67"/>
  <c r="FE75"/>
  <c r="FE78"/>
  <c r="FD81"/>
  <c r="FG76"/>
  <c r="FF81" s="1"/>
  <c r="FF45"/>
  <c r="FD50"/>
  <c r="FF37"/>
  <c r="FD51"/>
  <c r="FG37"/>
  <c r="FB50"/>
  <c r="FE37"/>
  <c r="FE45"/>
  <c r="FE48"/>
  <c r="FB54"/>
  <c r="FB60" s="1"/>
  <c r="FG38"/>
  <c r="FF48" s="1"/>
  <c r="FG46"/>
  <c r="FE52" s="1"/>
  <c r="FG15"/>
  <c r="FF15"/>
  <c r="FF7"/>
  <c r="FD20"/>
  <c r="FG7"/>
  <c r="FB20"/>
  <c r="FE7"/>
  <c r="FE15"/>
  <c r="FE18"/>
  <c r="FD21"/>
  <c r="FB24"/>
  <c r="FB30" s="1"/>
  <c r="FG8"/>
  <c r="FF18" s="1"/>
  <c r="FG16"/>
  <c r="FE22" s="1"/>
  <c r="G797"/>
  <c r="F797"/>
  <c r="G789"/>
  <c r="F789"/>
  <c r="B802"/>
  <c r="G790"/>
  <c r="F800" s="1"/>
  <c r="E800"/>
  <c r="E801" s="1"/>
  <c r="D802"/>
  <c r="B803"/>
  <c r="B812"/>
  <c r="E789"/>
  <c r="E797"/>
  <c r="D803"/>
  <c r="G798"/>
  <c r="F803" s="1"/>
  <c r="EU98"/>
  <c r="L244" i="10" s="1"/>
  <c r="M244" s="1"/>
  <c r="EU106" i="37"/>
  <c r="ET111" s="1"/>
  <c r="EU68"/>
  <c r="L243" i="10" s="1"/>
  <c r="EU76" i="37"/>
  <c r="ET81" s="1"/>
  <c r="EU38"/>
  <c r="L242" i="10" s="1"/>
  <c r="M242" s="1"/>
  <c r="EU46" i="37"/>
  <c r="ET51" s="1"/>
  <c r="ET21"/>
  <c r="N220" i="10"/>
  <c r="O220" s="1"/>
  <c r="EU8" i="37"/>
  <c r="ET18" s="1"/>
  <c r="EU16"/>
  <c r="EI98"/>
  <c r="L240" i="10" s="1"/>
  <c r="M240" s="1"/>
  <c r="EI106" i="37"/>
  <c r="EH111" s="1"/>
  <c r="EI68"/>
  <c r="L241" i="10" s="1"/>
  <c r="M241" s="1"/>
  <c r="EI76" i="37"/>
  <c r="EH81" s="1"/>
  <c r="EI38"/>
  <c r="L239" i="10" s="1"/>
  <c r="M239" s="1"/>
  <c r="EI46" i="37"/>
  <c r="EH51" s="1"/>
  <c r="EI8"/>
  <c r="EH18" s="1"/>
  <c r="EI16"/>
  <c r="EH21" s="1"/>
  <c r="DW8"/>
  <c r="DV18" s="1"/>
  <c r="DW16"/>
  <c r="DV21" s="1"/>
  <c r="DK8"/>
  <c r="DJ18" s="1"/>
  <c r="DK16"/>
  <c r="DJ21" s="1"/>
  <c r="CY8"/>
  <c r="CX18" s="1"/>
  <c r="CY16"/>
  <c r="CX21" s="1"/>
  <c r="CI40"/>
  <c r="CH50" s="1"/>
  <c r="CI48"/>
  <c r="CH53" s="1"/>
  <c r="CI10"/>
  <c r="CH20" s="1"/>
  <c r="CI18"/>
  <c r="CH23" s="1"/>
  <c r="BM611"/>
  <c r="L238" i="10" s="1"/>
  <c r="BM619" i="37"/>
  <c r="BL624" s="1"/>
  <c r="BM581"/>
  <c r="L237" i="10" s="1"/>
  <c r="M237" s="1"/>
  <c r="BM589" i="37"/>
  <c r="BL594" s="1"/>
  <c r="BM551"/>
  <c r="L236" i="10" s="1"/>
  <c r="M236" s="1"/>
  <c r="BM559" i="37"/>
  <c r="BL564" s="1"/>
  <c r="B235" i="10"/>
  <c r="BM521" i="37"/>
  <c r="L235" i="10" s="1"/>
  <c r="M235" s="1"/>
  <c r="BM529" i="37"/>
  <c r="BL534" s="1"/>
  <c r="BM491"/>
  <c r="BL501" s="1"/>
  <c r="BM499"/>
  <c r="BL504" s="1"/>
  <c r="BM469"/>
  <c r="BL474"/>
  <c r="BM431"/>
  <c r="BL441" s="1"/>
  <c r="BM439"/>
  <c r="BL444" s="1"/>
  <c r="BM401"/>
  <c r="BL411" s="1"/>
  <c r="BM409"/>
  <c r="BL414" s="1"/>
  <c r="BM371"/>
  <c r="BL381" s="1"/>
  <c r="BM379"/>
  <c r="BL384" s="1"/>
  <c r="BM341"/>
  <c r="BL351" s="1"/>
  <c r="BM349"/>
  <c r="BL354" s="1"/>
  <c r="BM311"/>
  <c r="BL321" s="1"/>
  <c r="BM319"/>
  <c r="BL324" s="1"/>
  <c r="BM281"/>
  <c r="BL291" s="1"/>
  <c r="BM289"/>
  <c r="BL294" s="1"/>
  <c r="BM251"/>
  <c r="BL261" s="1"/>
  <c r="BM259"/>
  <c r="BL264" s="1"/>
  <c r="BM220"/>
  <c r="BL230" s="1"/>
  <c r="BM228"/>
  <c r="BL233" s="1"/>
  <c r="BM190"/>
  <c r="BL200" s="1"/>
  <c r="BM198"/>
  <c r="BL203" s="1"/>
  <c r="BM160"/>
  <c r="BL170" s="1"/>
  <c r="BM168"/>
  <c r="BL173" s="1"/>
  <c r="BM138"/>
  <c r="BL143" s="1"/>
  <c r="BL110"/>
  <c r="BM108"/>
  <c r="BL113" s="1"/>
  <c r="BM70"/>
  <c r="BL80" s="1"/>
  <c r="BM78"/>
  <c r="BL83" s="1"/>
  <c r="BM40"/>
  <c r="BL50" s="1"/>
  <c r="BM48"/>
  <c r="BL53" s="1"/>
  <c r="BM10"/>
  <c r="BL20" s="1"/>
  <c r="BM18"/>
  <c r="BL23" s="1"/>
  <c r="AP220"/>
  <c r="AO230" s="1"/>
  <c r="AP228"/>
  <c r="AO233" s="1"/>
  <c r="AP190"/>
  <c r="AO200" s="1"/>
  <c r="AP198"/>
  <c r="AO203" s="1"/>
  <c r="AP160"/>
  <c r="AO170" s="1"/>
  <c r="AP168"/>
  <c r="AO173" s="1"/>
  <c r="AP130"/>
  <c r="AO140" s="1"/>
  <c r="AP138"/>
  <c r="AO143" s="1"/>
  <c r="AP100"/>
  <c r="AO110" s="1"/>
  <c r="AP108"/>
  <c r="AO113" s="1"/>
  <c r="AP70"/>
  <c r="AO80" s="1"/>
  <c r="AP78"/>
  <c r="AO83" s="1"/>
  <c r="AP40"/>
  <c r="AO50" s="1"/>
  <c r="AP48"/>
  <c r="AO53" s="1"/>
  <c r="AP10"/>
  <c r="AO20" s="1"/>
  <c r="AP18"/>
  <c r="AO23" s="1"/>
  <c r="Y280"/>
  <c r="X290" s="1"/>
  <c r="Y288"/>
  <c r="X293" s="1"/>
  <c r="Y250"/>
  <c r="X260" s="1"/>
  <c r="Y258"/>
  <c r="X263" s="1"/>
  <c r="Y220"/>
  <c r="X230" s="1"/>
  <c r="Y228"/>
  <c r="X233" s="1"/>
  <c r="Y190"/>
  <c r="X200" s="1"/>
  <c r="Y198"/>
  <c r="X203" s="1"/>
  <c r="Y160"/>
  <c r="X170" s="1"/>
  <c r="Y168"/>
  <c r="X173" s="1"/>
  <c r="X143"/>
  <c r="Y138"/>
  <c r="Y100"/>
  <c r="X110" s="1"/>
  <c r="Y108"/>
  <c r="X113" s="1"/>
  <c r="Y70"/>
  <c r="X80" s="1"/>
  <c r="Y78"/>
  <c r="X83" s="1"/>
  <c r="Y40"/>
  <c r="X50" s="1"/>
  <c r="Y48"/>
  <c r="X53" s="1"/>
  <c r="Y10"/>
  <c r="X20" s="1"/>
  <c r="Y18"/>
  <c r="X23" s="1"/>
  <c r="G10"/>
  <c r="F20" s="1"/>
  <c r="G18"/>
  <c r="F23" s="1"/>
  <c r="G40"/>
  <c r="F50" s="1"/>
  <c r="G48"/>
  <c r="F53" s="1"/>
  <c r="G70"/>
  <c r="F80" s="1"/>
  <c r="G78"/>
  <c r="F83" s="1"/>
  <c r="G100"/>
  <c r="F110" s="1"/>
  <c r="G108"/>
  <c r="F113" s="1"/>
  <c r="F143"/>
  <c r="G138"/>
  <c r="F170"/>
  <c r="G168"/>
  <c r="F173" s="1"/>
  <c r="G190"/>
  <c r="F200" s="1"/>
  <c r="G198"/>
  <c r="F203" s="1"/>
  <c r="G220"/>
  <c r="F230" s="1"/>
  <c r="G228"/>
  <c r="F233" s="1"/>
  <c r="G250"/>
  <c r="F260" s="1"/>
  <c r="G258"/>
  <c r="F263" s="1"/>
  <c r="G280"/>
  <c r="F290" s="1"/>
  <c r="G288"/>
  <c r="F293" s="1"/>
  <c r="G310"/>
  <c r="F320" s="1"/>
  <c r="G318"/>
  <c r="F323" s="1"/>
  <c r="F350"/>
  <c r="G348"/>
  <c r="F353" s="1"/>
  <c r="G370"/>
  <c r="F380" s="1"/>
  <c r="G378"/>
  <c r="F383" s="1"/>
  <c r="G400"/>
  <c r="F410" s="1"/>
  <c r="G408"/>
  <c r="F413" s="1"/>
  <c r="G430"/>
  <c r="F440" s="1"/>
  <c r="G438"/>
  <c r="F443" s="1"/>
  <c r="G460"/>
  <c r="F470" s="1"/>
  <c r="G468"/>
  <c r="F473" s="1"/>
  <c r="G490"/>
  <c r="F500" s="1"/>
  <c r="G498"/>
  <c r="F503" s="1"/>
  <c r="F533"/>
  <c r="G528"/>
  <c r="G550"/>
  <c r="F560" s="1"/>
  <c r="G558"/>
  <c r="F563" s="1"/>
  <c r="G580"/>
  <c r="F590" s="1"/>
  <c r="G588"/>
  <c r="F593" s="1"/>
  <c r="G610"/>
  <c r="G618"/>
  <c r="F623" s="1"/>
  <c r="B233" i="10"/>
  <c r="B254" s="1"/>
  <c r="G640" i="37"/>
  <c r="L233" i="10" s="1"/>
  <c r="G648" i="37"/>
  <c r="E654" s="1"/>
  <c r="G670"/>
  <c r="L234" i="10" s="1"/>
  <c r="M234" s="1"/>
  <c r="G678" i="37"/>
  <c r="F683" s="1"/>
  <c r="G700"/>
  <c r="L230" i="10" s="1"/>
  <c r="M230" s="1"/>
  <c r="G708" i="37"/>
  <c r="F713" s="1"/>
  <c r="G730"/>
  <c r="L232" i="10" s="1"/>
  <c r="M232" s="1"/>
  <c r="G738" i="37"/>
  <c r="F743" s="1"/>
  <c r="B389" i="10"/>
  <c r="E366"/>
  <c r="E374"/>
  <c r="D380"/>
  <c r="G375"/>
  <c r="F380" s="1"/>
  <c r="B359"/>
  <c r="E336"/>
  <c r="E344"/>
  <c r="H341" s="1"/>
  <c r="D350"/>
  <c r="G345"/>
  <c r="F350" s="1"/>
  <c r="G307"/>
  <c r="F317" s="1"/>
  <c r="E314"/>
  <c r="D320"/>
  <c r="B323"/>
  <c r="B329" s="1"/>
  <c r="E306"/>
  <c r="G315"/>
  <c r="F320" s="1"/>
  <c r="G768" i="37"/>
  <c r="F767"/>
  <c r="G759"/>
  <c r="F759"/>
  <c r="B782"/>
  <c r="E770"/>
  <c r="D772"/>
  <c r="B772"/>
  <c r="E759"/>
  <c r="E767"/>
  <c r="B773"/>
  <c r="E773"/>
  <c r="E774" s="1"/>
  <c r="D773"/>
  <c r="E740"/>
  <c r="B739"/>
  <c r="B729"/>
  <c r="E726"/>
  <c r="E734"/>
  <c r="D743"/>
  <c r="E710"/>
  <c r="B230" i="10" s="1"/>
  <c r="B722" i="37"/>
  <c r="B712"/>
  <c r="E711"/>
  <c r="E699"/>
  <c r="E707"/>
  <c r="B713"/>
  <c r="E713"/>
  <c r="D713"/>
  <c r="B682"/>
  <c r="E683"/>
  <c r="C234" i="10" s="1"/>
  <c r="D682" i="37"/>
  <c r="B692"/>
  <c r="E684"/>
  <c r="E669"/>
  <c r="E677"/>
  <c r="E680"/>
  <c r="B234" i="10" s="1"/>
  <c r="B683" i="37"/>
  <c r="D683"/>
  <c r="EG111"/>
  <c r="EF110"/>
  <c r="ED120"/>
  <c r="EG97"/>
  <c r="EG105"/>
  <c r="EG108"/>
  <c r="B240" i="10" s="1"/>
  <c r="ED111" i="37"/>
  <c r="EF111"/>
  <c r="ES102"/>
  <c r="ES105" s="1"/>
  <c r="EP107"/>
  <c r="EP114" s="1"/>
  <c r="EP120"/>
  <c r="ER110"/>
  <c r="ES94"/>
  <c r="ES97"/>
  <c r="EP110"/>
  <c r="EP111"/>
  <c r="ES111"/>
  <c r="ER111"/>
  <c r="ER80"/>
  <c r="EP80"/>
  <c r="EP90"/>
  <c r="ES67"/>
  <c r="ES75"/>
  <c r="ES78"/>
  <c r="EP81"/>
  <c r="ES81"/>
  <c r="ER81"/>
  <c r="EP60"/>
  <c r="ES48"/>
  <c r="ER50"/>
  <c r="EP50"/>
  <c r="ES37"/>
  <c r="ES45"/>
  <c r="EP51"/>
  <c r="ES51"/>
  <c r="ER51"/>
  <c r="EF80"/>
  <c r="ED87"/>
  <c r="EF81"/>
  <c r="EG67"/>
  <c r="ED84"/>
  <c r="ED90" s="1"/>
  <c r="ED81"/>
  <c r="EG74"/>
  <c r="EE75"/>
  <c r="EG64"/>
  <c r="EG72"/>
  <c r="ED75"/>
  <c r="EG48"/>
  <c r="B239" i="10" s="1"/>
  <c r="ED60" i="37"/>
  <c r="EF50"/>
  <c r="ED50"/>
  <c r="EG49"/>
  <c r="EG37"/>
  <c r="EG45"/>
  <c r="ED51"/>
  <c r="EG51"/>
  <c r="EF51"/>
  <c r="BK622"/>
  <c r="BK610"/>
  <c r="BK618"/>
  <c r="BH624"/>
  <c r="BK624"/>
  <c r="BJ624"/>
  <c r="BK591"/>
  <c r="B237" i="10" s="1"/>
  <c r="BJ593" i="37"/>
  <c r="BH593"/>
  <c r="BH597"/>
  <c r="BH603" s="1"/>
  <c r="BH594"/>
  <c r="BK580"/>
  <c r="BK588"/>
  <c r="BK594"/>
  <c r="BJ594"/>
  <c r="BK550"/>
  <c r="BH570"/>
  <c r="BJ564"/>
  <c r="BH567"/>
  <c r="BK547"/>
  <c r="BK548"/>
  <c r="BK555"/>
  <c r="BK556"/>
  <c r="BI558"/>
  <c r="BH561"/>
  <c r="BH568" s="1"/>
  <c r="BK534"/>
  <c r="BK528"/>
  <c r="BJ533"/>
  <c r="BK517"/>
  <c r="BH533" s="1"/>
  <c r="BH534"/>
  <c r="BJ534"/>
  <c r="BH539"/>
  <c r="BH543" s="1"/>
  <c r="BK520"/>
  <c r="E647"/>
  <c r="B652"/>
  <c r="B653"/>
  <c r="D652"/>
  <c r="D653"/>
  <c r="B658"/>
  <c r="B662" s="1"/>
  <c r="E639"/>
  <c r="ES15"/>
  <c r="EP20"/>
  <c r="EP21"/>
  <c r="D220" i="10" s="1"/>
  <c r="ER20" i="37"/>
  <c r="ER21"/>
  <c r="E220" i="10" s="1"/>
  <c r="EP26" i="37"/>
  <c r="EP30" s="1"/>
  <c r="ES7"/>
  <c r="EG21"/>
  <c r="C219" i="10" s="1"/>
  <c r="EG18" i="37"/>
  <c r="B219" i="10" s="1"/>
  <c r="EF20" i="37"/>
  <c r="ED20"/>
  <c r="EF21"/>
  <c r="ED24"/>
  <c r="ED30" s="1"/>
  <c r="EG7"/>
  <c r="EG15"/>
  <c r="DT20"/>
  <c r="DU7"/>
  <c r="DU4"/>
  <c r="DU18"/>
  <c r="B218" i="10" s="1"/>
  <c r="DU12" i="37"/>
  <c r="DU21"/>
  <c r="C218" i="10" s="1"/>
  <c r="DR15" i="37"/>
  <c r="DR17"/>
  <c r="DT21"/>
  <c r="DI15"/>
  <c r="DI18"/>
  <c r="B217" i="10" s="1"/>
  <c r="DI4" i="37"/>
  <c r="DF20"/>
  <c r="DF21"/>
  <c r="DH20"/>
  <c r="DH21"/>
  <c r="DF26"/>
  <c r="DF30" s="1"/>
  <c r="DI7"/>
  <c r="BK504"/>
  <c r="C216" i="10" s="1"/>
  <c r="BK498" i="37"/>
  <c r="BK501"/>
  <c r="B216" i="10" s="1"/>
  <c r="BH503" i="37"/>
  <c r="BH504"/>
  <c r="BJ503"/>
  <c r="BJ504"/>
  <c r="BH509"/>
  <c r="BH513" s="1"/>
  <c r="BK490"/>
  <c r="E623"/>
  <c r="C215" i="10" s="1"/>
  <c r="E620" i="37"/>
  <c r="B215" i="10" s="1"/>
  <c r="D622" i="37"/>
  <c r="B622"/>
  <c r="D623"/>
  <c r="B626"/>
  <c r="B632" s="1"/>
  <c r="E609"/>
  <c r="E617"/>
  <c r="CV20"/>
  <c r="CT20"/>
  <c r="CW7"/>
  <c r="CW15"/>
  <c r="CT21"/>
  <c r="CV21"/>
  <c r="BJ473"/>
  <c r="BH473"/>
  <c r="BK460"/>
  <c r="BK468"/>
  <c r="BH474"/>
  <c r="BJ474"/>
  <c r="BJ443"/>
  <c r="BH443"/>
  <c r="BK430"/>
  <c r="BK438"/>
  <c r="BH444"/>
  <c r="BJ444"/>
  <c r="D592"/>
  <c r="B592"/>
  <c r="E579"/>
  <c r="E587"/>
  <c r="B593"/>
  <c r="D593"/>
  <c r="C10" i="42"/>
  <c r="E7"/>
  <c r="C10" i="40"/>
  <c r="E7"/>
  <c r="AD474" i="10" l="1"/>
  <c r="AG474" s="1"/>
  <c r="AG473"/>
  <c r="AG471"/>
  <c r="AG472"/>
  <c r="AG404"/>
  <c r="AG427"/>
  <c r="AD428"/>
  <c r="AG403"/>
  <c r="AG435"/>
  <c r="AD436"/>
  <c r="AD437" s="1"/>
  <c r="AD416"/>
  <c r="AG415"/>
  <c r="B11" i="45"/>
  <c r="B6"/>
  <c r="J5"/>
  <c r="N3"/>
  <c r="D27"/>
  <c r="D13"/>
  <c r="N4"/>
  <c r="FF261" i="37"/>
  <c r="FE259"/>
  <c r="FH252"/>
  <c r="FF225"/>
  <c r="H371" i="10"/>
  <c r="FB230" i="37"/>
  <c r="FE225"/>
  <c r="FH222" s="1"/>
  <c r="F222" i="10" s="1"/>
  <c r="FE228" i="37"/>
  <c r="FG218"/>
  <c r="FF228" s="1"/>
  <c r="FB237"/>
  <c r="FB240" s="1"/>
  <c r="FD231"/>
  <c r="E222" i="10" s="1"/>
  <c r="FE231" i="37"/>
  <c r="FG226"/>
  <c r="FF231" s="1"/>
  <c r="FG225"/>
  <c r="FB201"/>
  <c r="FB200"/>
  <c r="FE195"/>
  <c r="FE198"/>
  <c r="FG188"/>
  <c r="FF198" s="1"/>
  <c r="FG195"/>
  <c r="FB207"/>
  <c r="FD201"/>
  <c r="FE201"/>
  <c r="FG196"/>
  <c r="FF201" s="1"/>
  <c r="FB210"/>
  <c r="FE187"/>
  <c r="FF165"/>
  <c r="FB177"/>
  <c r="FD171"/>
  <c r="FE171"/>
  <c r="FG166"/>
  <c r="FF171" s="1"/>
  <c r="FE168"/>
  <c r="FG158"/>
  <c r="FF168" s="1"/>
  <c r="FG165"/>
  <c r="FB171"/>
  <c r="FB170"/>
  <c r="FE165"/>
  <c r="FB180"/>
  <c r="FE157"/>
  <c r="FH132"/>
  <c r="F249" i="10" s="1"/>
  <c r="FE138" i="37"/>
  <c r="B249" i="10" s="1"/>
  <c r="FG128" i="37"/>
  <c r="FB141"/>
  <c r="D249" i="10" s="1"/>
  <c r="FB144" i="37"/>
  <c r="FB150" s="1"/>
  <c r="FF141"/>
  <c r="FE109"/>
  <c r="FH102"/>
  <c r="FF111"/>
  <c r="FE79"/>
  <c r="FH72"/>
  <c r="FE82"/>
  <c r="FH42"/>
  <c r="FF51"/>
  <c r="FE49"/>
  <c r="FF21"/>
  <c r="FE19"/>
  <c r="FH12"/>
  <c r="H794"/>
  <c r="E804"/>
  <c r="ES112"/>
  <c r="C244" i="10"/>
  <c r="ET108" i="37"/>
  <c r="I244" i="10" s="1"/>
  <c r="ES82" i="37"/>
  <c r="C243" i="10"/>
  <c r="ES79" i="37"/>
  <c r="B243" i="10"/>
  <c r="G256"/>
  <c r="M243"/>
  <c r="ET78" i="37"/>
  <c r="I243" i="10" s="1"/>
  <c r="ET48" i="37"/>
  <c r="I242" i="10" s="1"/>
  <c r="ES52" i="37"/>
  <c r="C242" i="10"/>
  <c r="ES49" i="37"/>
  <c r="B242" i="10"/>
  <c r="EH108" i="37"/>
  <c r="I240" i="10" s="1"/>
  <c r="EG112" i="37"/>
  <c r="C240" i="10"/>
  <c r="EH78" i="37"/>
  <c r="I241" i="10" s="1"/>
  <c r="EH48" i="37"/>
  <c r="I239" i="10" s="1"/>
  <c r="EG52" i="37"/>
  <c r="C239" i="10"/>
  <c r="I219"/>
  <c r="N219"/>
  <c r="O219" s="1"/>
  <c r="I218"/>
  <c r="N218"/>
  <c r="O218" s="1"/>
  <c r="N217"/>
  <c r="O217" s="1"/>
  <c r="I217"/>
  <c r="BK625" i="37"/>
  <c r="C238" i="10"/>
  <c r="G255"/>
  <c r="H255" s="1"/>
  <c r="M238"/>
  <c r="BL621" i="37"/>
  <c r="I238" i="10" s="1"/>
  <c r="BL591" i="37"/>
  <c r="I237" i="10" s="1"/>
  <c r="BK595" i="37"/>
  <c r="C237" i="10"/>
  <c r="BL561" i="37"/>
  <c r="I236" i="10" s="1"/>
  <c r="BK532" i="37"/>
  <c r="C235" i="10"/>
  <c r="BK535" i="37"/>
  <c r="BL531"/>
  <c r="I235" i="10" s="1"/>
  <c r="I216"/>
  <c r="N216"/>
  <c r="O216" s="1"/>
  <c r="I215"/>
  <c r="N215"/>
  <c r="O215" s="1"/>
  <c r="F653" i="37"/>
  <c r="E651"/>
  <c r="G254" i="10"/>
  <c r="H254" s="1"/>
  <c r="M233"/>
  <c r="F650" i="37"/>
  <c r="I233" i="10" s="1"/>
  <c r="F680" i="37"/>
  <c r="I234" i="10" s="1"/>
  <c r="E714" i="37"/>
  <c r="C230" i="10"/>
  <c r="F710" i="37"/>
  <c r="I230" i="10" s="1"/>
  <c r="F740" i="37"/>
  <c r="I232" i="10" s="1"/>
  <c r="E741" i="37"/>
  <c r="B232" i="10"/>
  <c r="E381"/>
  <c r="E351"/>
  <c r="E318"/>
  <c r="H311"/>
  <c r="E321"/>
  <c r="E771" i="37"/>
  <c r="H764"/>
  <c r="E743"/>
  <c r="C232" i="10" s="1"/>
  <c r="B746" i="37"/>
  <c r="B752" s="1"/>
  <c r="B743"/>
  <c r="B742"/>
  <c r="E737"/>
  <c r="E729"/>
  <c r="E681"/>
  <c r="EG109"/>
  <c r="ES108"/>
  <c r="EG81"/>
  <c r="EG78"/>
  <c r="B241" i="10" s="1"/>
  <c r="ED80" i="37"/>
  <c r="EG75"/>
  <c r="BK592"/>
  <c r="BH563"/>
  <c r="BK558"/>
  <c r="BK561"/>
  <c r="B236" i="10" s="1"/>
  <c r="BH573" i="37"/>
  <c r="BJ563"/>
  <c r="BH564"/>
  <c r="BK564"/>
  <c r="C236" i="10" s="1"/>
  <c r="F220"/>
  <c r="DR20" i="37"/>
  <c r="DU15"/>
  <c r="DR21"/>
  <c r="DR24"/>
  <c r="DR30" s="1"/>
  <c r="B9" i="42"/>
  <c r="B9" i="40"/>
  <c r="C72"/>
  <c r="C71"/>
  <c r="E16"/>
  <c r="C14"/>
  <c r="C73"/>
  <c r="AG428" i="10" l="1"/>
  <c r="AD429"/>
  <c r="AD438"/>
  <c r="AG437"/>
  <c r="AG436"/>
  <c r="AD469"/>
  <c r="AD417"/>
  <c r="AD418" s="1"/>
  <c r="AG416"/>
  <c r="B15" i="45"/>
  <c r="Q14"/>
  <c r="N13" s="1"/>
  <c r="G14"/>
  <c r="N7"/>
  <c r="D34"/>
  <c r="E27"/>
  <c r="Q9"/>
  <c r="I7"/>
  <c r="E7"/>
  <c r="D7"/>
  <c r="B12"/>
  <c r="J6"/>
  <c r="E11"/>
  <c r="B13"/>
  <c r="FE232" i="37"/>
  <c r="C222" i="10"/>
  <c r="B256"/>
  <c r="H256" s="1"/>
  <c r="FE229" i="37"/>
  <c r="FE199"/>
  <c r="FE202"/>
  <c r="FH192"/>
  <c r="FH162"/>
  <c r="FE169"/>
  <c r="FE172"/>
  <c r="FF138"/>
  <c r="I249" i="10" s="1"/>
  <c r="L249"/>
  <c r="M249" s="1"/>
  <c r="FE139" i="37"/>
  <c r="ES109"/>
  <c r="B244" i="10"/>
  <c r="EG82" i="37"/>
  <c r="C241" i="10"/>
  <c r="E744" i="37"/>
  <c r="EG79"/>
  <c r="BK562"/>
  <c r="BK565"/>
  <c r="B10" i="42"/>
  <c r="D9"/>
  <c r="D10" s="1"/>
  <c r="B12"/>
  <c r="C25" i="40"/>
  <c r="D72"/>
  <c r="C29"/>
  <c r="C70"/>
  <c r="E13"/>
  <c r="B10"/>
  <c r="D9"/>
  <c r="D10" s="1"/>
  <c r="AG429" i="10" l="1"/>
  <c r="AD430"/>
  <c r="AG430" s="1"/>
  <c r="AG418"/>
  <c r="AD419"/>
  <c r="AD439"/>
  <c r="AG438"/>
  <c r="AG424"/>
  <c r="AG417"/>
  <c r="I6" i="45"/>
  <c r="B30"/>
  <c r="E30" s="1"/>
  <c r="E12"/>
  <c r="B29"/>
  <c r="B28"/>
  <c r="D14"/>
  <c r="Q15"/>
  <c r="D15"/>
  <c r="E34"/>
  <c r="G13"/>
  <c r="N14"/>
  <c r="E13"/>
  <c r="E9" i="42"/>
  <c r="E10" s="1"/>
  <c r="B13"/>
  <c r="C49" i="40"/>
  <c r="C50"/>
  <c r="C48"/>
  <c r="D57"/>
  <c r="D24"/>
  <c r="D70"/>
  <c r="C69"/>
  <c r="C68"/>
  <c r="E17"/>
  <c r="C16"/>
  <c r="C18" s="1"/>
  <c r="E12"/>
  <c r="C13"/>
  <c r="E14"/>
  <c r="E18"/>
  <c r="E9"/>
  <c r="AD420" i="10" l="1"/>
  <c r="AG419"/>
  <c r="AG439"/>
  <c r="AD440"/>
  <c r="C20" i="45"/>
  <c r="C19"/>
  <c r="C18"/>
  <c r="G11"/>
  <c r="C40"/>
  <c r="N16"/>
  <c r="G12" s="1"/>
  <c r="B35"/>
  <c r="C28"/>
  <c r="F28" s="1"/>
  <c r="B31"/>
  <c r="B36"/>
  <c r="C29"/>
  <c r="F29" s="1"/>
  <c r="N15"/>
  <c r="C19" i="42"/>
  <c r="D19" s="1"/>
  <c r="C18"/>
  <c r="C20"/>
  <c r="D20" s="1"/>
  <c r="B14"/>
  <c r="G17" i="40"/>
  <c r="I8"/>
  <c r="I7"/>
  <c r="B24"/>
  <c r="D68"/>
  <c r="G13"/>
  <c r="E21" s="1"/>
  <c r="G12"/>
  <c r="C17"/>
  <c r="C19" s="1"/>
  <c r="G18" s="1"/>
  <c r="E10"/>
  <c r="D59" s="1"/>
  <c r="D29"/>
  <c r="D73"/>
  <c r="D25"/>
  <c r="B29"/>
  <c r="D71"/>
  <c r="B25"/>
  <c r="F16"/>
  <c r="K12"/>
  <c r="K13" s="1"/>
  <c r="I5" s="1"/>
  <c r="H9"/>
  <c r="H7"/>
  <c r="F21"/>
  <c r="G16"/>
  <c r="H8"/>
  <c r="C54"/>
  <c r="D54" s="1"/>
  <c r="C53"/>
  <c r="C55"/>
  <c r="D55" s="1"/>
  <c r="B54"/>
  <c r="E54" s="1"/>
  <c r="B53"/>
  <c r="B55"/>
  <c r="E55" s="1"/>
  <c r="AG440" i="10" l="1"/>
  <c r="AD441"/>
  <c r="AD421"/>
  <c r="AG420"/>
  <c r="C21" i="45"/>
  <c r="B18"/>
  <c r="G10"/>
  <c r="H7"/>
  <c r="H4"/>
  <c r="B19"/>
  <c r="H5"/>
  <c r="B40"/>
  <c r="B20"/>
  <c r="H6"/>
  <c r="C36"/>
  <c r="C42" s="1"/>
  <c r="D29"/>
  <c r="D36" s="1"/>
  <c r="E36" s="1"/>
  <c r="B42"/>
  <c r="C35"/>
  <c r="C31"/>
  <c r="D28"/>
  <c r="B41"/>
  <c r="B37"/>
  <c r="B62" s="1"/>
  <c r="E28"/>
  <c r="B19" i="42"/>
  <c r="E19" s="1"/>
  <c r="B18"/>
  <c r="B20"/>
  <c r="E20" s="1"/>
  <c r="D18"/>
  <c r="D21" s="1"/>
  <c r="C21"/>
  <c r="B56" i="40"/>
  <c r="E53"/>
  <c r="E56" s="1"/>
  <c r="D60" s="1"/>
  <c r="H10"/>
  <c r="J7"/>
  <c r="A17"/>
  <c r="A16"/>
  <c r="C20"/>
  <c r="C21" s="1"/>
  <c r="D53"/>
  <c r="D56" s="1"/>
  <c r="C56"/>
  <c r="D58" s="1"/>
  <c r="J8"/>
  <c r="K8"/>
  <c r="I9"/>
  <c r="J9" s="1"/>
  <c r="AG441" i="10" l="1"/>
  <c r="AD442"/>
  <c r="AD422"/>
  <c r="AG422" s="1"/>
  <c r="AG421"/>
  <c r="E29" i="45"/>
  <c r="E31"/>
  <c r="B51"/>
  <c r="B61"/>
  <c r="D35"/>
  <c r="D31"/>
  <c r="C41"/>
  <c r="C43" s="1"/>
  <c r="C37"/>
  <c r="B63" s="1"/>
  <c r="D42"/>
  <c r="E42" s="1"/>
  <c r="E6"/>
  <c r="E20" s="1"/>
  <c r="D6"/>
  <c r="G20"/>
  <c r="B43"/>
  <c r="D40"/>
  <c r="D5"/>
  <c r="E5"/>
  <c r="E19" s="1"/>
  <c r="G19"/>
  <c r="D4"/>
  <c r="E4"/>
  <c r="E18" s="1"/>
  <c r="B21"/>
  <c r="G18"/>
  <c r="B21" i="42"/>
  <c r="E18"/>
  <c r="E21" s="1"/>
  <c r="K9" i="40"/>
  <c r="J10"/>
  <c r="I10"/>
  <c r="K7"/>
  <c r="K10" s="1"/>
  <c r="AG442" i="10" l="1"/>
  <c r="AD443"/>
  <c r="G21" i="45"/>
  <c r="E21"/>
  <c r="D23" s="1"/>
  <c r="J23" s="1"/>
  <c r="B65"/>
  <c r="D50"/>
  <c r="B60"/>
  <c r="D49" s="1"/>
  <c r="B57"/>
  <c r="C51"/>
  <c r="C57" s="1"/>
  <c r="B50"/>
  <c r="D48"/>
  <c r="D18"/>
  <c r="F4"/>
  <c r="G4" s="1"/>
  <c r="D19"/>
  <c r="F19" s="1"/>
  <c r="H19" s="1"/>
  <c r="L19" s="1"/>
  <c r="F5"/>
  <c r="G5" s="1"/>
  <c r="D20"/>
  <c r="F20" s="1"/>
  <c r="H20" s="1"/>
  <c r="L20" s="1"/>
  <c r="F6"/>
  <c r="G6" s="1"/>
  <c r="D37"/>
  <c r="E35"/>
  <c r="E37" s="1"/>
  <c r="E40"/>
  <c r="D41"/>
  <c r="D43" s="1"/>
  <c r="E41"/>
  <c r="N44" i="38"/>
  <c r="M44"/>
  <c r="L44"/>
  <c r="O44"/>
  <c r="O43"/>
  <c r="O42"/>
  <c r="O41"/>
  <c r="L42"/>
  <c r="M42"/>
  <c r="N42"/>
  <c r="L43"/>
  <c r="M43"/>
  <c r="N43"/>
  <c r="M41"/>
  <c r="N41"/>
  <c r="L41"/>
  <c r="O38"/>
  <c r="U21"/>
  <c r="M37"/>
  <c r="N37"/>
  <c r="L37"/>
  <c r="O35"/>
  <c r="O36"/>
  <c r="O37"/>
  <c r="O34"/>
  <c r="M30"/>
  <c r="N30"/>
  <c r="L30"/>
  <c r="O28"/>
  <c r="O29"/>
  <c r="O30"/>
  <c r="O27"/>
  <c r="AB20"/>
  <c r="AA20"/>
  <c r="AD19"/>
  <c r="AC19"/>
  <c r="AB19"/>
  <c r="AA19"/>
  <c r="AC18"/>
  <c r="AB18"/>
  <c r="AA18"/>
  <c r="U20"/>
  <c r="V20"/>
  <c r="X19"/>
  <c r="U19"/>
  <c r="V19"/>
  <c r="W19"/>
  <c r="V18"/>
  <c r="W18"/>
  <c r="U18"/>
  <c r="AB36"/>
  <c r="AG34"/>
  <c r="AG46" s="1"/>
  <c r="S28"/>
  <c r="T38" s="1"/>
  <c r="BN23"/>
  <c r="BM23"/>
  <c r="BL23"/>
  <c r="BK23"/>
  <c r="BJ23"/>
  <c r="BI23"/>
  <c r="BH23"/>
  <c r="BG23"/>
  <c r="BF23"/>
  <c r="BN22"/>
  <c r="BM22"/>
  <c r="BL22"/>
  <c r="BK22"/>
  <c r="BJ22"/>
  <c r="BI22"/>
  <c r="BH22"/>
  <c r="BG22"/>
  <c r="BF22"/>
  <c r="K22"/>
  <c r="J22"/>
  <c r="I22"/>
  <c r="H22"/>
  <c r="G22"/>
  <c r="AF34" s="1"/>
  <c r="AF46" s="1"/>
  <c r="F22"/>
  <c r="AE34" s="1"/>
  <c r="AE46" s="1"/>
  <c r="E22"/>
  <c r="AD34" s="1"/>
  <c r="AD46" s="1"/>
  <c r="D22"/>
  <c r="AC34" s="1"/>
  <c r="AC46" s="1"/>
  <c r="C22"/>
  <c r="AB34" s="1"/>
  <c r="AB46" s="1"/>
  <c r="BN21"/>
  <c r="BM21"/>
  <c r="BL21"/>
  <c r="BK21"/>
  <c r="BJ21"/>
  <c r="BI21"/>
  <c r="BH21"/>
  <c r="BG21"/>
  <c r="BF21"/>
  <c r="K21"/>
  <c r="J21"/>
  <c r="I21"/>
  <c r="AH33" s="1"/>
  <c r="AH45" s="1"/>
  <c r="H21"/>
  <c r="G21"/>
  <c r="AF33" s="1"/>
  <c r="AF45" s="1"/>
  <c r="F21"/>
  <c r="AE33" s="1"/>
  <c r="AE45" s="1"/>
  <c r="E21"/>
  <c r="AD33" s="1"/>
  <c r="AD45" s="1"/>
  <c r="D21"/>
  <c r="AC33" s="1"/>
  <c r="AC45" s="1"/>
  <c r="C21"/>
  <c r="AB33" s="1"/>
  <c r="AB45" s="1"/>
  <c r="BN20"/>
  <c r="BM20"/>
  <c r="BL20"/>
  <c r="BK20"/>
  <c r="BJ20"/>
  <c r="BI20"/>
  <c r="BH20"/>
  <c r="BG20"/>
  <c r="BF20"/>
  <c r="K20"/>
  <c r="J20"/>
  <c r="I20"/>
  <c r="AH32" s="1"/>
  <c r="AH44" s="1"/>
  <c r="H20"/>
  <c r="AG32" s="1"/>
  <c r="AG44" s="1"/>
  <c r="G20"/>
  <c r="F20"/>
  <c r="AE32" s="1"/>
  <c r="AE44" s="1"/>
  <c r="E20"/>
  <c r="AD32" s="1"/>
  <c r="AD44" s="1"/>
  <c r="D20"/>
  <c r="AC32" s="1"/>
  <c r="AC44" s="1"/>
  <c r="C20"/>
  <c r="AB32" s="1"/>
  <c r="AB44" s="1"/>
  <c r="BN19"/>
  <c r="BM19"/>
  <c r="BL19"/>
  <c r="BK19"/>
  <c r="BJ19"/>
  <c r="BI19"/>
  <c r="BH19"/>
  <c r="BG19"/>
  <c r="BF19"/>
  <c r="K19"/>
  <c r="J19"/>
  <c r="I19"/>
  <c r="AH31" s="1"/>
  <c r="AH43" s="1"/>
  <c r="H19"/>
  <c r="AG31" s="1"/>
  <c r="AG43" s="1"/>
  <c r="G19"/>
  <c r="AF31" s="1"/>
  <c r="AF43" s="1"/>
  <c r="F19"/>
  <c r="E19"/>
  <c r="AD31" s="1"/>
  <c r="AD43" s="1"/>
  <c r="D19"/>
  <c r="AC31" s="1"/>
  <c r="AC43" s="1"/>
  <c r="C19"/>
  <c r="AB31" s="1"/>
  <c r="AB43" s="1"/>
  <c r="BN18"/>
  <c r="BM18"/>
  <c r="BL18"/>
  <c r="BK18"/>
  <c r="BJ18"/>
  <c r="BI18"/>
  <c r="BH18"/>
  <c r="BG18"/>
  <c r="BF18"/>
  <c r="Q18" a="1"/>
  <c r="Q21" s="1"/>
  <c r="K18"/>
  <c r="J18"/>
  <c r="I18"/>
  <c r="AH30" s="1"/>
  <c r="AH42" s="1"/>
  <c r="H18"/>
  <c r="AG30" s="1"/>
  <c r="AG42" s="1"/>
  <c r="G18"/>
  <c r="AF30" s="1"/>
  <c r="AF42" s="1"/>
  <c r="F18"/>
  <c r="AE30" s="1"/>
  <c r="AE42" s="1"/>
  <c r="E18"/>
  <c r="AD30" s="1"/>
  <c r="AD42" s="1"/>
  <c r="D18"/>
  <c r="AC30" s="1"/>
  <c r="AC42" s="1"/>
  <c r="C18"/>
  <c r="AB30" s="1"/>
  <c r="AB42" s="1"/>
  <c r="BN17"/>
  <c r="BM17"/>
  <c r="BL17"/>
  <c r="BK17"/>
  <c r="BJ17"/>
  <c r="BI17"/>
  <c r="BH17"/>
  <c r="BG17"/>
  <c r="BF17"/>
  <c r="K17"/>
  <c r="J17"/>
  <c r="I17"/>
  <c r="AH29" s="1"/>
  <c r="AH41" s="1"/>
  <c r="H17"/>
  <c r="AG29" s="1"/>
  <c r="AG41" s="1"/>
  <c r="G17"/>
  <c r="AF29" s="1"/>
  <c r="AF41" s="1"/>
  <c r="F17"/>
  <c r="AE29" s="1"/>
  <c r="AE41" s="1"/>
  <c r="E17"/>
  <c r="AD29" s="1"/>
  <c r="AD41" s="1"/>
  <c r="D17"/>
  <c r="AC29" s="1"/>
  <c r="AC41" s="1"/>
  <c r="C17"/>
  <c r="AB29" s="1"/>
  <c r="AB41" s="1"/>
  <c r="K16"/>
  <c r="J16"/>
  <c r="Q13" s="1" a="1"/>
  <c r="I16"/>
  <c r="AH28" s="1"/>
  <c r="AH40" s="1"/>
  <c r="H16"/>
  <c r="AG28" s="1"/>
  <c r="AG40" s="1"/>
  <c r="G16"/>
  <c r="AF28" s="1"/>
  <c r="AF40" s="1"/>
  <c r="F16"/>
  <c r="E16"/>
  <c r="AD28" s="1"/>
  <c r="AD40" s="1"/>
  <c r="D16"/>
  <c r="AC28" s="1"/>
  <c r="AC40" s="1"/>
  <c r="C16"/>
  <c r="AB28" s="1"/>
  <c r="DX8"/>
  <c r="DO8"/>
  <c r="DX7"/>
  <c r="DO7"/>
  <c r="DA7"/>
  <c r="CR7"/>
  <c r="CF7"/>
  <c r="BW7"/>
  <c r="DX6"/>
  <c r="DO6"/>
  <c r="DA6"/>
  <c r="CR6"/>
  <c r="CF6"/>
  <c r="BW6"/>
  <c r="U6"/>
  <c r="DA5"/>
  <c r="CR5"/>
  <c r="CF5"/>
  <c r="BW5"/>
  <c r="BI161" i="37"/>
  <c r="BI160"/>
  <c r="AL10"/>
  <c r="AL11"/>
  <c r="C11"/>
  <c r="C10"/>
  <c r="J555"/>
  <c r="J556"/>
  <c r="J557" s="1"/>
  <c r="J558" s="1"/>
  <c r="D561"/>
  <c r="B571" s="1"/>
  <c r="B561"/>
  <c r="B568" s="1"/>
  <c r="D560"/>
  <c r="B570" s="1"/>
  <c r="B560"/>
  <c r="B567" s="1"/>
  <c r="D559"/>
  <c r="B569" s="1"/>
  <c r="B559"/>
  <c r="B563" s="1"/>
  <c r="D557"/>
  <c r="C557"/>
  <c r="B557"/>
  <c r="E556"/>
  <c r="E555"/>
  <c r="J554"/>
  <c r="E554"/>
  <c r="D549"/>
  <c r="C549"/>
  <c r="B549"/>
  <c r="E548"/>
  <c r="E547"/>
  <c r="E560"/>
  <c r="E546"/>
  <c r="V120" i="10"/>
  <c r="F199"/>
  <c r="L120" s="1"/>
  <c r="S120" s="1"/>
  <c r="E199"/>
  <c r="E197" s="1"/>
  <c r="D199"/>
  <c r="R120" s="1"/>
  <c r="U120" s="1"/>
  <c r="C199"/>
  <c r="Q120" s="1"/>
  <c r="T120" s="1"/>
  <c r="B211"/>
  <c r="B202"/>
  <c r="I120" s="1"/>
  <c r="P120" s="1"/>
  <c r="C197"/>
  <c r="BJ412" i="37"/>
  <c r="BH422" s="1"/>
  <c r="BH412"/>
  <c r="BH419" s="1"/>
  <c r="BJ411"/>
  <c r="BH421" s="1"/>
  <c r="BH411"/>
  <c r="BH418" s="1"/>
  <c r="BJ410"/>
  <c r="BH420" s="1"/>
  <c r="BH410"/>
  <c r="BH414" s="1"/>
  <c r="BP408"/>
  <c r="BP409" s="1"/>
  <c r="BJ408"/>
  <c r="BI408"/>
  <c r="BH408"/>
  <c r="BK407"/>
  <c r="BP406"/>
  <c r="BP407" s="1"/>
  <c r="BK406"/>
  <c r="BP405"/>
  <c r="BK414"/>
  <c r="D208" i="10" s="1"/>
  <c r="D206" s="1"/>
  <c r="BK405" i="37"/>
  <c r="BJ400"/>
  <c r="BI400"/>
  <c r="BH400"/>
  <c r="BK399"/>
  <c r="BK398"/>
  <c r="BK397"/>
  <c r="V119" i="10"/>
  <c r="V118"/>
  <c r="F181"/>
  <c r="L119" s="1"/>
  <c r="S119" s="1"/>
  <c r="E181"/>
  <c r="E179" s="1"/>
  <c r="D181"/>
  <c r="R119" s="1"/>
  <c r="U119" s="1"/>
  <c r="C181"/>
  <c r="Q119" s="1"/>
  <c r="T119" s="1"/>
  <c r="B193"/>
  <c r="B184"/>
  <c r="I119" s="1"/>
  <c r="P119" s="1"/>
  <c r="BJ382" i="37"/>
  <c r="BH392" s="1"/>
  <c r="BH382"/>
  <c r="BH389" s="1"/>
  <c r="BJ381"/>
  <c r="BH391" s="1"/>
  <c r="BH381"/>
  <c r="BH388" s="1"/>
  <c r="BJ380"/>
  <c r="BH390" s="1"/>
  <c r="BH380"/>
  <c r="BH384" s="1"/>
  <c r="BP378"/>
  <c r="BP379" s="1"/>
  <c r="BJ378"/>
  <c r="BI378"/>
  <c r="BH378"/>
  <c r="BK377"/>
  <c r="BP376"/>
  <c r="BP377" s="1"/>
  <c r="BK376"/>
  <c r="BP375"/>
  <c r="BK384"/>
  <c r="D190" i="10" s="1"/>
  <c r="K119" s="1"/>
  <c r="N119" s="1"/>
  <c r="BK375" i="37"/>
  <c r="BJ370"/>
  <c r="BI370"/>
  <c r="BH370"/>
  <c r="BK369"/>
  <c r="BK368"/>
  <c r="BK367"/>
  <c r="F125" i="10"/>
  <c r="F135" s="1"/>
  <c r="F126"/>
  <c r="L89" s="1"/>
  <c r="L109" s="1"/>
  <c r="F124"/>
  <c r="F134" s="1"/>
  <c r="I90"/>
  <c r="I110" s="1"/>
  <c r="P135"/>
  <c r="P145" s="1"/>
  <c r="O135"/>
  <c r="O145" s="1"/>
  <c r="N135"/>
  <c r="M135"/>
  <c r="P134"/>
  <c r="P132" s="1"/>
  <c r="O134"/>
  <c r="O132" s="1"/>
  <c r="N134"/>
  <c r="K90" s="1"/>
  <c r="N90" s="1"/>
  <c r="M134"/>
  <c r="J90" s="1"/>
  <c r="M90" s="1"/>
  <c r="L147"/>
  <c r="L137"/>
  <c r="BJ352" i="37"/>
  <c r="BH362" s="1"/>
  <c r="BH352"/>
  <c r="BJ351"/>
  <c r="BH361" s="1"/>
  <c r="BH351"/>
  <c r="BH358" s="1"/>
  <c r="BJ350"/>
  <c r="BH360" s="1"/>
  <c r="BH350"/>
  <c r="BH357" s="1"/>
  <c r="BJ348"/>
  <c r="BI348"/>
  <c r="BH348"/>
  <c r="BQ347"/>
  <c r="BQ348" s="1"/>
  <c r="BQ349" s="1"/>
  <c r="BK347"/>
  <c r="BK346"/>
  <c r="BQ345"/>
  <c r="BQ346" s="1"/>
  <c r="BK354"/>
  <c r="N145" i="10" s="1"/>
  <c r="BK345" i="37"/>
  <c r="BJ340"/>
  <c r="BI340"/>
  <c r="BH340"/>
  <c r="BK339"/>
  <c r="BK338"/>
  <c r="BK351"/>
  <c r="M145" i="10" s="1"/>
  <c r="BK337" i="37"/>
  <c r="BQ317"/>
  <c r="BJ322"/>
  <c r="BH332" s="1"/>
  <c r="BH322"/>
  <c r="BJ321"/>
  <c r="BH331" s="1"/>
  <c r="BH321"/>
  <c r="BH328" s="1"/>
  <c r="BJ320"/>
  <c r="BH330" s="1"/>
  <c r="BH320"/>
  <c r="BH327" s="1"/>
  <c r="BJ318"/>
  <c r="BI318"/>
  <c r="BH318"/>
  <c r="BK317"/>
  <c r="BK316"/>
  <c r="BQ315"/>
  <c r="BQ316" s="1"/>
  <c r="BQ318" s="1"/>
  <c r="BQ319" s="1"/>
  <c r="BK324"/>
  <c r="N144" i="10" s="1"/>
  <c r="BK315" i="37"/>
  <c r="BJ310"/>
  <c r="BI310"/>
  <c r="BH310"/>
  <c r="BK309"/>
  <c r="BK308"/>
  <c r="BK307"/>
  <c r="B175" i="10"/>
  <c r="F163"/>
  <c r="F172" s="1"/>
  <c r="F170" s="1"/>
  <c r="E163"/>
  <c r="E172" s="1"/>
  <c r="E170" s="1"/>
  <c r="D163"/>
  <c r="D161" s="1"/>
  <c r="C163"/>
  <c r="C161" s="1"/>
  <c r="F147"/>
  <c r="F157" s="1"/>
  <c r="E147"/>
  <c r="E157" s="1"/>
  <c r="D147"/>
  <c r="C147"/>
  <c r="F146"/>
  <c r="F156" s="1"/>
  <c r="E146"/>
  <c r="E156" s="1"/>
  <c r="D146"/>
  <c r="C146"/>
  <c r="F145"/>
  <c r="F155" s="1"/>
  <c r="E145"/>
  <c r="E155" s="1"/>
  <c r="D145"/>
  <c r="C145"/>
  <c r="F144"/>
  <c r="L118" s="1"/>
  <c r="S118" s="1"/>
  <c r="E144"/>
  <c r="E142" s="1"/>
  <c r="D144"/>
  <c r="R118" s="1"/>
  <c r="U118" s="1"/>
  <c r="C144"/>
  <c r="Q118" s="1"/>
  <c r="T118" s="1"/>
  <c r="B147"/>
  <c r="I118" s="1"/>
  <c r="P118" s="1"/>
  <c r="E126"/>
  <c r="E136" s="1"/>
  <c r="D126"/>
  <c r="K89" s="1"/>
  <c r="N89" s="1"/>
  <c r="C126"/>
  <c r="J89" s="1"/>
  <c r="M89" s="1"/>
  <c r="B137"/>
  <c r="E125"/>
  <c r="E135" s="1"/>
  <c r="D125"/>
  <c r="C125"/>
  <c r="E124"/>
  <c r="E134" s="1"/>
  <c r="D124"/>
  <c r="C124"/>
  <c r="B166"/>
  <c r="B157"/>
  <c r="B127"/>
  <c r="I89" s="1"/>
  <c r="I109" s="1"/>
  <c r="L105"/>
  <c r="K105"/>
  <c r="L104"/>
  <c r="K104"/>
  <c r="L103"/>
  <c r="K103"/>
  <c r="L102"/>
  <c r="K102"/>
  <c r="L75"/>
  <c r="K75"/>
  <c r="L74"/>
  <c r="K74"/>
  <c r="L73"/>
  <c r="K73"/>
  <c r="L72"/>
  <c r="K72"/>
  <c r="L71"/>
  <c r="L69" s="1"/>
  <c r="K84" s="1"/>
  <c r="N84" s="1"/>
  <c r="K71"/>
  <c r="K69" s="1"/>
  <c r="J84" s="1"/>
  <c r="M84" s="1"/>
  <c r="D111"/>
  <c r="C111"/>
  <c r="D110"/>
  <c r="D108" s="1"/>
  <c r="C110"/>
  <c r="D104"/>
  <c r="C104"/>
  <c r="D103"/>
  <c r="C103"/>
  <c r="D101"/>
  <c r="C101"/>
  <c r="D95"/>
  <c r="C95"/>
  <c r="D94"/>
  <c r="C94"/>
  <c r="D93"/>
  <c r="C93"/>
  <c r="D92"/>
  <c r="C92"/>
  <c r="D85"/>
  <c r="C85"/>
  <c r="D84"/>
  <c r="C84"/>
  <c r="D83"/>
  <c r="C83"/>
  <c r="D82"/>
  <c r="C82"/>
  <c r="D81"/>
  <c r="D79" s="1"/>
  <c r="C81"/>
  <c r="C79" s="1"/>
  <c r="D75"/>
  <c r="C75"/>
  <c r="D74"/>
  <c r="C74"/>
  <c r="D73"/>
  <c r="C73"/>
  <c r="D72"/>
  <c r="C72"/>
  <c r="D71"/>
  <c r="D69" s="1"/>
  <c r="K81" s="1"/>
  <c r="N81" s="1"/>
  <c r="C71"/>
  <c r="C69" s="1"/>
  <c r="J81" s="1"/>
  <c r="M81" s="1"/>
  <c r="B113"/>
  <c r="F108"/>
  <c r="E108"/>
  <c r="C108"/>
  <c r="J104"/>
  <c r="I83" s="1"/>
  <c r="B104"/>
  <c r="I85" s="1"/>
  <c r="N99"/>
  <c r="L83" s="1"/>
  <c r="M99"/>
  <c r="F99"/>
  <c r="L85" s="1"/>
  <c r="E99"/>
  <c r="B94"/>
  <c r="I82" s="1"/>
  <c r="F89"/>
  <c r="L82" s="1"/>
  <c r="E89"/>
  <c r="B84"/>
  <c r="F79"/>
  <c r="E79"/>
  <c r="J74"/>
  <c r="I84" s="1"/>
  <c r="B74"/>
  <c r="I81" s="1"/>
  <c r="N69"/>
  <c r="L84" s="1"/>
  <c r="M69"/>
  <c r="F69"/>
  <c r="L81" s="1"/>
  <c r="E69"/>
  <c r="N36"/>
  <c r="L51" s="1"/>
  <c r="M36"/>
  <c r="D22"/>
  <c r="F45"/>
  <c r="E45"/>
  <c r="F36"/>
  <c r="L53" s="1"/>
  <c r="E36"/>
  <c r="F26"/>
  <c r="L50" s="1"/>
  <c r="E26"/>
  <c r="J11"/>
  <c r="I52" s="1"/>
  <c r="K10"/>
  <c r="L9"/>
  <c r="C12"/>
  <c r="J41"/>
  <c r="I51" s="1"/>
  <c r="B31"/>
  <c r="I50" s="1"/>
  <c r="B21"/>
  <c r="B11"/>
  <c r="I49" s="1"/>
  <c r="B50"/>
  <c r="CG53" i="37"/>
  <c r="D48" i="10" s="1"/>
  <c r="CG50" i="37"/>
  <c r="C48" i="10" s="1"/>
  <c r="CG23" i="37"/>
  <c r="D47" i="10" s="1"/>
  <c r="CG20" i="37"/>
  <c r="C47" i="10" s="1"/>
  <c r="BK294" i="37"/>
  <c r="L42" i="10" s="1"/>
  <c r="BK291" i="37"/>
  <c r="K42" i="10" s="1"/>
  <c r="BK264" i="37"/>
  <c r="L41" i="10" s="1"/>
  <c r="BK261" i="37"/>
  <c r="K41" i="10" s="1"/>
  <c r="BK233" i="37"/>
  <c r="L40" i="10" s="1"/>
  <c r="BK230" i="37"/>
  <c r="K40" i="10" s="1"/>
  <c r="BK203" i="37"/>
  <c r="L39" i="10" s="1"/>
  <c r="BK200" i="37"/>
  <c r="K39" i="10" s="1"/>
  <c r="BK143" i="37"/>
  <c r="D41" i="10" s="1"/>
  <c r="BK140" i="37"/>
  <c r="C41" i="10" s="1"/>
  <c r="BK113" i="37"/>
  <c r="D40" i="10" s="1"/>
  <c r="BK110" i="37"/>
  <c r="C40" i="10" s="1"/>
  <c r="BK83" i="37"/>
  <c r="D39" i="10" s="1"/>
  <c r="BK80" i="37"/>
  <c r="C39" i="10" s="1"/>
  <c r="BK53" i="37"/>
  <c r="D42" i="10" s="1"/>
  <c r="BK50" i="37"/>
  <c r="C42" i="10" s="1"/>
  <c r="BK23" i="37"/>
  <c r="D38" i="10" s="1"/>
  <c r="BK20" i="37"/>
  <c r="C38" i="10" s="1"/>
  <c r="AN233" i="37"/>
  <c r="D172" i="10" s="1"/>
  <c r="D170" s="1"/>
  <c r="AN230" i="37"/>
  <c r="C172" i="10" s="1"/>
  <c r="C170" s="1"/>
  <c r="AN203" i="37"/>
  <c r="AN200"/>
  <c r="AN173"/>
  <c r="AN170"/>
  <c r="AN143"/>
  <c r="D32" i="10" s="1"/>
  <c r="AN140" i="37"/>
  <c r="C32" i="10" s="1"/>
  <c r="AN113" i="37"/>
  <c r="D31" i="10" s="1"/>
  <c r="AN110" i="37"/>
  <c r="C31" i="10" s="1"/>
  <c r="AN83" i="37"/>
  <c r="D30" i="10" s="1"/>
  <c r="AN80" i="37"/>
  <c r="C30" i="10" s="1"/>
  <c r="AN53" i="37"/>
  <c r="D29" i="10" s="1"/>
  <c r="AN50" i="37"/>
  <c r="C29" i="10" s="1"/>
  <c r="W293" i="37"/>
  <c r="W290"/>
  <c r="W263"/>
  <c r="W260"/>
  <c r="W233"/>
  <c r="W230"/>
  <c r="W203"/>
  <c r="W200"/>
  <c r="W173"/>
  <c r="W170"/>
  <c r="W143"/>
  <c r="W140"/>
  <c r="C22" i="10" s="1"/>
  <c r="W113" i="37"/>
  <c r="D21" i="10" s="1"/>
  <c r="W110" i="37"/>
  <c r="C21" i="10" s="1"/>
  <c r="W83" i="37"/>
  <c r="D20" i="10" s="1"/>
  <c r="W80" i="37"/>
  <c r="C20" i="10" s="1"/>
  <c r="W53" i="37"/>
  <c r="D19" i="10" s="1"/>
  <c r="W50" i="37"/>
  <c r="C19" i="10" s="1"/>
  <c r="W23" i="37"/>
  <c r="D18" i="10" s="1"/>
  <c r="W20" i="37"/>
  <c r="C18" i="10" s="1"/>
  <c r="E533" i="37"/>
  <c r="D157" i="10" s="1"/>
  <c r="E530" i="37"/>
  <c r="C157" i="10" s="1"/>
  <c r="E503" i="37"/>
  <c r="D156" i="10" s="1"/>
  <c r="E500" i="37"/>
  <c r="C156" i="10" s="1"/>
  <c r="E473" i="37"/>
  <c r="D155" i="10" s="1"/>
  <c r="E470" i="37"/>
  <c r="C155" i="10" s="1"/>
  <c r="E443" i="37"/>
  <c r="D154" i="10" s="1"/>
  <c r="K118" s="1"/>
  <c r="N118" s="1"/>
  <c r="E440" i="37"/>
  <c r="C154" i="10" s="1"/>
  <c r="E413" i="37"/>
  <c r="E410"/>
  <c r="E383"/>
  <c r="D136" i="10" s="1"/>
  <c r="K109" s="1"/>
  <c r="N109" s="1"/>
  <c r="E380" i="37"/>
  <c r="C136" i="10" s="1"/>
  <c r="J109" s="1"/>
  <c r="M109" s="1"/>
  <c r="E353" i="37"/>
  <c r="D135" i="10" s="1"/>
  <c r="E350" i="37"/>
  <c r="C135" i="10" s="1"/>
  <c r="E323" i="37"/>
  <c r="D134" i="10" s="1"/>
  <c r="E320" i="37"/>
  <c r="C134" i="10" s="1"/>
  <c r="E293" i="37"/>
  <c r="L12" i="10" s="1"/>
  <c r="E290" i="37"/>
  <c r="K12" i="10" s="1"/>
  <c r="E263" i="37"/>
  <c r="L11" i="10" s="1"/>
  <c r="E260" i="37"/>
  <c r="K11" i="10" s="1"/>
  <c r="E233" i="37"/>
  <c r="L10" i="10" s="1"/>
  <c r="E230" i="37"/>
  <c r="E203"/>
  <c r="E200"/>
  <c r="K9" i="10" s="1"/>
  <c r="E173" i="37"/>
  <c r="L8" i="10" s="1"/>
  <c r="E170" i="37"/>
  <c r="K8" i="10" s="1"/>
  <c r="E143" i="37"/>
  <c r="D12" i="10" s="1"/>
  <c r="E140" i="37"/>
  <c r="E113"/>
  <c r="D11" i="10" s="1"/>
  <c r="E110" i="37"/>
  <c r="C11" i="10" s="1"/>
  <c r="E83" i="37"/>
  <c r="D10" i="10" s="1"/>
  <c r="E80" i="37"/>
  <c r="C10" i="10" s="1"/>
  <c r="E53" i="37"/>
  <c r="D9" i="10" s="1"/>
  <c r="E50" i="37"/>
  <c r="C9" i="10" s="1"/>
  <c r="B23" i="37"/>
  <c r="E23"/>
  <c r="D8" i="10" s="1"/>
  <c r="E20" i="37"/>
  <c r="C8" i="10" s="1"/>
  <c r="AB15" i="37"/>
  <c r="AB16" s="1"/>
  <c r="AB17" s="1"/>
  <c r="AB18" s="1"/>
  <c r="AB14"/>
  <c r="CM45"/>
  <c r="CM46" s="1"/>
  <c r="CM47" s="1"/>
  <c r="CM48" s="1"/>
  <c r="CM44"/>
  <c r="CM14"/>
  <c r="CM15" s="1"/>
  <c r="CM16" s="1"/>
  <c r="CM17" s="1"/>
  <c r="CM18" s="1"/>
  <c r="BQ286"/>
  <c r="BQ287" s="1"/>
  <c r="BQ288" s="1"/>
  <c r="BQ289" s="1"/>
  <c r="BQ285"/>
  <c r="BQ256"/>
  <c r="BQ257" s="1"/>
  <c r="BQ258" s="1"/>
  <c r="BQ259" s="1"/>
  <c r="BQ255"/>
  <c r="BQ225"/>
  <c r="BQ226" s="1"/>
  <c r="BQ227" s="1"/>
  <c r="BQ228" s="1"/>
  <c r="BQ224"/>
  <c r="BQ195"/>
  <c r="BQ196" s="1"/>
  <c r="BQ197" s="1"/>
  <c r="BQ198" s="1"/>
  <c r="BQ194"/>
  <c r="BQ165"/>
  <c r="BQ166" s="1"/>
  <c r="BQ167" s="1"/>
  <c r="BQ168" s="1"/>
  <c r="BQ164"/>
  <c r="BQ135"/>
  <c r="BQ136" s="1"/>
  <c r="BQ137" s="1"/>
  <c r="BQ138" s="1"/>
  <c r="BQ134"/>
  <c r="BQ105"/>
  <c r="BQ106" s="1"/>
  <c r="BQ107" s="1"/>
  <c r="BQ108" s="1"/>
  <c r="BQ104"/>
  <c r="BQ75"/>
  <c r="BQ76" s="1"/>
  <c r="BQ77" s="1"/>
  <c r="BQ78" s="1"/>
  <c r="BQ74"/>
  <c r="BQ15"/>
  <c r="BQ16" s="1"/>
  <c r="BQ17" s="1"/>
  <c r="BQ18" s="1"/>
  <c r="BQ14"/>
  <c r="BQ44"/>
  <c r="BQ45" s="1"/>
  <c r="BQ46" s="1"/>
  <c r="BQ47" s="1"/>
  <c r="BQ48" s="1"/>
  <c r="AT135"/>
  <c r="AT136" s="1"/>
  <c r="AT137" s="1"/>
  <c r="AT138" s="1"/>
  <c r="AT134"/>
  <c r="AT105"/>
  <c r="AT106" s="1"/>
  <c r="AT107" s="1"/>
  <c r="AT108" s="1"/>
  <c r="AT104"/>
  <c r="AT75"/>
  <c r="AT76" s="1"/>
  <c r="AT77" s="1"/>
  <c r="AT78" s="1"/>
  <c r="AT74"/>
  <c r="AT45"/>
  <c r="AT46" s="1"/>
  <c r="AT47" s="1"/>
  <c r="AT48" s="1"/>
  <c r="AT44"/>
  <c r="AT14"/>
  <c r="AT15"/>
  <c r="AT16" s="1"/>
  <c r="AT17" s="1"/>
  <c r="AT18" s="1"/>
  <c r="AB135"/>
  <c r="AB136" s="1"/>
  <c r="AB137" s="1"/>
  <c r="AB138" s="1"/>
  <c r="AB134"/>
  <c r="AB105"/>
  <c r="AB106" s="1"/>
  <c r="AB107" s="1"/>
  <c r="AB108" s="1"/>
  <c r="AB104"/>
  <c r="AB75"/>
  <c r="AB76" s="1"/>
  <c r="AB77" s="1"/>
  <c r="AB78" s="1"/>
  <c r="AB74"/>
  <c r="AB44"/>
  <c r="AB45" s="1"/>
  <c r="AB46" s="1"/>
  <c r="AB47" s="1"/>
  <c r="AB48" s="1"/>
  <c r="J285"/>
  <c r="J286" s="1"/>
  <c r="J287" s="1"/>
  <c r="J288" s="1"/>
  <c r="J284"/>
  <c r="J255"/>
  <c r="J256" s="1"/>
  <c r="J257" s="1"/>
  <c r="J258" s="1"/>
  <c r="J254"/>
  <c r="J225"/>
  <c r="J226" s="1"/>
  <c r="J227" s="1"/>
  <c r="J228" s="1"/>
  <c r="J224"/>
  <c r="J195"/>
  <c r="J196" s="1"/>
  <c r="J197" s="1"/>
  <c r="J198" s="1"/>
  <c r="J194"/>
  <c r="J164"/>
  <c r="J165" s="1"/>
  <c r="J166" s="1"/>
  <c r="J167" s="1"/>
  <c r="J168" s="1"/>
  <c r="J135"/>
  <c r="J136" s="1"/>
  <c r="J137" s="1"/>
  <c r="J138" s="1"/>
  <c r="J134"/>
  <c r="J105"/>
  <c r="J106" s="1"/>
  <c r="J107" s="1"/>
  <c r="J108" s="1"/>
  <c r="J104"/>
  <c r="J75"/>
  <c r="J76" s="1"/>
  <c r="J77" s="1"/>
  <c r="J78" s="1"/>
  <c r="J74"/>
  <c r="J45"/>
  <c r="J46" s="1"/>
  <c r="J47" s="1"/>
  <c r="J48" s="1"/>
  <c r="J44"/>
  <c r="J15"/>
  <c r="J16"/>
  <c r="J17" s="1"/>
  <c r="J18" s="1"/>
  <c r="J14"/>
  <c r="AX68"/>
  <c r="AY74"/>
  <c r="AX74"/>
  <c r="AM231"/>
  <c r="AK241" s="1"/>
  <c r="AK231"/>
  <c r="AK238" s="1"/>
  <c r="AM230"/>
  <c r="AK240" s="1"/>
  <c r="AK230"/>
  <c r="AK237" s="1"/>
  <c r="AM229"/>
  <c r="AK239" s="1"/>
  <c r="AK229"/>
  <c r="AK236" s="1"/>
  <c r="AS227"/>
  <c r="AS228" s="1"/>
  <c r="AM227"/>
  <c r="AL227"/>
  <c r="AK227"/>
  <c r="AN226"/>
  <c r="AS225"/>
  <c r="AS226" s="1"/>
  <c r="AN225"/>
  <c r="AS224"/>
  <c r="AN224"/>
  <c r="AN227" s="1"/>
  <c r="AM219"/>
  <c r="AL219"/>
  <c r="AK219"/>
  <c r="AN218"/>
  <c r="AN217"/>
  <c r="AN216"/>
  <c r="AY73"/>
  <c r="AX73"/>
  <c r="D531"/>
  <c r="B541" s="1"/>
  <c r="B531"/>
  <c r="B538" s="1"/>
  <c r="D530"/>
  <c r="B540" s="1"/>
  <c r="B530"/>
  <c r="B537" s="1"/>
  <c r="D529"/>
  <c r="B539" s="1"/>
  <c r="B529"/>
  <c r="B536" s="1"/>
  <c r="J527"/>
  <c r="J528" s="1"/>
  <c r="D527"/>
  <c r="C527"/>
  <c r="B527"/>
  <c r="E526"/>
  <c r="J525"/>
  <c r="J526" s="1"/>
  <c r="E525"/>
  <c r="J524"/>
  <c r="E524"/>
  <c r="E527" s="1"/>
  <c r="D519"/>
  <c r="C519"/>
  <c r="B519"/>
  <c r="E518"/>
  <c r="E517"/>
  <c r="E516"/>
  <c r="AY72"/>
  <c r="AX72"/>
  <c r="D501"/>
  <c r="B511" s="1"/>
  <c r="B501"/>
  <c r="B508" s="1"/>
  <c r="D500"/>
  <c r="B510" s="1"/>
  <c r="B500"/>
  <c r="B507" s="1"/>
  <c r="D499"/>
  <c r="B509" s="1"/>
  <c r="B499"/>
  <c r="B506" s="1"/>
  <c r="J498"/>
  <c r="J497"/>
  <c r="D497"/>
  <c r="C497"/>
  <c r="B497"/>
  <c r="E496"/>
  <c r="J495"/>
  <c r="J496" s="1"/>
  <c r="E495"/>
  <c r="J494"/>
  <c r="E494"/>
  <c r="E497" s="1"/>
  <c r="D489"/>
  <c r="C489"/>
  <c r="B489"/>
  <c r="E488"/>
  <c r="E487"/>
  <c r="E486"/>
  <c r="AY71"/>
  <c r="AY70"/>
  <c r="AX71"/>
  <c r="AX70"/>
  <c r="D471"/>
  <c r="B481" s="1"/>
  <c r="B471"/>
  <c r="B478" s="1"/>
  <c r="D470"/>
  <c r="B480" s="1"/>
  <c r="B470"/>
  <c r="B477" s="1"/>
  <c r="D469"/>
  <c r="B479" s="1"/>
  <c r="B469"/>
  <c r="B476" s="1"/>
  <c r="J467"/>
  <c r="J468" s="1"/>
  <c r="D467"/>
  <c r="C467"/>
  <c r="B467"/>
  <c r="E466"/>
  <c r="J465"/>
  <c r="J466" s="1"/>
  <c r="E465"/>
  <c r="J464"/>
  <c r="E464"/>
  <c r="E467" s="1"/>
  <c r="D459"/>
  <c r="C459"/>
  <c r="B459"/>
  <c r="E458"/>
  <c r="E457"/>
  <c r="E456"/>
  <c r="J438"/>
  <c r="J437"/>
  <c r="J436"/>
  <c r="J435"/>
  <c r="J434"/>
  <c r="D441"/>
  <c r="B451" s="1"/>
  <c r="B441"/>
  <c r="B448" s="1"/>
  <c r="D440"/>
  <c r="B450" s="1"/>
  <c r="B440"/>
  <c r="B447" s="1"/>
  <c r="D439"/>
  <c r="B449" s="1"/>
  <c r="B439"/>
  <c r="B446" s="1"/>
  <c r="D437"/>
  <c r="C437"/>
  <c r="B437"/>
  <c r="E436"/>
  <c r="E435"/>
  <c r="E434"/>
  <c r="D429"/>
  <c r="C429"/>
  <c r="B429"/>
  <c r="E428"/>
  <c r="E427"/>
  <c r="E426"/>
  <c r="AM201"/>
  <c r="AK211" s="1"/>
  <c r="AK201"/>
  <c r="AK208" s="1"/>
  <c r="AM200"/>
  <c r="AK210" s="1"/>
  <c r="AK200"/>
  <c r="AK207" s="1"/>
  <c r="AM199"/>
  <c r="AK209" s="1"/>
  <c r="AK199"/>
  <c r="AK206" s="1"/>
  <c r="AM197"/>
  <c r="AL197"/>
  <c r="AK197"/>
  <c r="AN196"/>
  <c r="AN195"/>
  <c r="AN194"/>
  <c r="AM189"/>
  <c r="AL189"/>
  <c r="AK189"/>
  <c r="AN188"/>
  <c r="AN187"/>
  <c r="AN186"/>
  <c r="AM171"/>
  <c r="AK181" s="1"/>
  <c r="AK171"/>
  <c r="AK178" s="1"/>
  <c r="AM170"/>
  <c r="AK180" s="1"/>
  <c r="AK170"/>
  <c r="AK177" s="1"/>
  <c r="AM169"/>
  <c r="AK179" s="1"/>
  <c r="AK169"/>
  <c r="AK176" s="1"/>
  <c r="AM167"/>
  <c r="AL167"/>
  <c r="AK167"/>
  <c r="AN166"/>
  <c r="AN165"/>
  <c r="AN164"/>
  <c r="AM159"/>
  <c r="AL159"/>
  <c r="AO159" s="1"/>
  <c r="AK159"/>
  <c r="AN158"/>
  <c r="AN157"/>
  <c r="AN156"/>
  <c r="V291"/>
  <c r="T301" s="1"/>
  <c r="T291"/>
  <c r="T298" s="1"/>
  <c r="V290"/>
  <c r="T300" s="1"/>
  <c r="T290"/>
  <c r="T297" s="1"/>
  <c r="V289"/>
  <c r="T299" s="1"/>
  <c r="T289"/>
  <c r="T296" s="1"/>
  <c r="V287"/>
  <c r="U287"/>
  <c r="T287"/>
  <c r="W286"/>
  <c r="W285"/>
  <c r="W284"/>
  <c r="V279"/>
  <c r="U279"/>
  <c r="T279"/>
  <c r="W278"/>
  <c r="W277"/>
  <c r="W276"/>
  <c r="V261"/>
  <c r="T271" s="1"/>
  <c r="T261"/>
  <c r="T268" s="1"/>
  <c r="V260"/>
  <c r="T270" s="1"/>
  <c r="T260"/>
  <c r="T267" s="1"/>
  <c r="V259"/>
  <c r="T269" s="1"/>
  <c r="T259"/>
  <c r="T266" s="1"/>
  <c r="V257"/>
  <c r="U257"/>
  <c r="T257"/>
  <c r="W256"/>
  <c r="W255"/>
  <c r="W254"/>
  <c r="V249"/>
  <c r="U249"/>
  <c r="T249"/>
  <c r="W248"/>
  <c r="W247"/>
  <c r="W246"/>
  <c r="V231"/>
  <c r="T241" s="1"/>
  <c r="T231"/>
  <c r="T238" s="1"/>
  <c r="V230"/>
  <c r="T240" s="1"/>
  <c r="T230"/>
  <c r="T237" s="1"/>
  <c r="V229"/>
  <c r="T239" s="1"/>
  <c r="T229"/>
  <c r="T236" s="1"/>
  <c r="V227"/>
  <c r="U227"/>
  <c r="T227"/>
  <c r="W226"/>
  <c r="W225"/>
  <c r="W224"/>
  <c r="V219"/>
  <c r="U219"/>
  <c r="T219"/>
  <c r="W218"/>
  <c r="W217"/>
  <c r="W216"/>
  <c r="V201"/>
  <c r="T211" s="1"/>
  <c r="T201"/>
  <c r="T208" s="1"/>
  <c r="V200"/>
  <c r="T210" s="1"/>
  <c r="T200"/>
  <c r="T207" s="1"/>
  <c r="V199"/>
  <c r="T209" s="1"/>
  <c r="T199"/>
  <c r="T206" s="1"/>
  <c r="V197"/>
  <c r="U197"/>
  <c r="T197"/>
  <c r="W196"/>
  <c r="W195"/>
  <c r="W194"/>
  <c r="V189"/>
  <c r="U189"/>
  <c r="T189"/>
  <c r="W188"/>
  <c r="W187"/>
  <c r="W186"/>
  <c r="V171"/>
  <c r="T181" s="1"/>
  <c r="T171"/>
  <c r="T178" s="1"/>
  <c r="V170"/>
  <c r="T180" s="1"/>
  <c r="T170"/>
  <c r="T177" s="1"/>
  <c r="V169"/>
  <c r="T179" s="1"/>
  <c r="T169"/>
  <c r="T176" s="1"/>
  <c r="V167"/>
  <c r="U167"/>
  <c r="T167"/>
  <c r="W166"/>
  <c r="W165"/>
  <c r="W164"/>
  <c r="V159"/>
  <c r="U159"/>
  <c r="T159"/>
  <c r="W158"/>
  <c r="W157"/>
  <c r="W156"/>
  <c r="AY69"/>
  <c r="D381"/>
  <c r="B391" s="1"/>
  <c r="B381"/>
  <c r="B388" s="1"/>
  <c r="D380"/>
  <c r="B390" s="1"/>
  <c r="B380"/>
  <c r="B387" s="1"/>
  <c r="D379"/>
  <c r="B389" s="1"/>
  <c r="B379"/>
  <c r="B386" s="1"/>
  <c r="D377"/>
  <c r="C377"/>
  <c r="B377"/>
  <c r="E376"/>
  <c r="E375"/>
  <c r="E374"/>
  <c r="D369"/>
  <c r="C369"/>
  <c r="B369"/>
  <c r="E368"/>
  <c r="E367"/>
  <c r="E366"/>
  <c r="AY68"/>
  <c r="D351"/>
  <c r="B361" s="1"/>
  <c r="B351"/>
  <c r="B358" s="1"/>
  <c r="D350"/>
  <c r="B360" s="1"/>
  <c r="B350"/>
  <c r="B357" s="1"/>
  <c r="D349"/>
  <c r="B359" s="1"/>
  <c r="B349"/>
  <c r="B356" s="1"/>
  <c r="D347"/>
  <c r="C347"/>
  <c r="B347"/>
  <c r="E346"/>
  <c r="E345"/>
  <c r="E344"/>
  <c r="D339"/>
  <c r="C339"/>
  <c r="B339"/>
  <c r="E338"/>
  <c r="E337"/>
  <c r="E336"/>
  <c r="D411"/>
  <c r="B421" s="1"/>
  <c r="B411"/>
  <c r="B418" s="1"/>
  <c r="D410"/>
  <c r="B420" s="1"/>
  <c r="B410"/>
  <c r="B417" s="1"/>
  <c r="D409"/>
  <c r="B419" s="1"/>
  <c r="B409"/>
  <c r="B416" s="1"/>
  <c r="D407"/>
  <c r="C407"/>
  <c r="B407"/>
  <c r="E406"/>
  <c r="E405"/>
  <c r="E404"/>
  <c r="D399"/>
  <c r="C399"/>
  <c r="B399"/>
  <c r="E398"/>
  <c r="E397"/>
  <c r="D412" s="1"/>
  <c r="E396"/>
  <c r="D321"/>
  <c r="B331" s="1"/>
  <c r="B321"/>
  <c r="B328" s="1"/>
  <c r="D320"/>
  <c r="B330" s="1"/>
  <c r="B320"/>
  <c r="B327" s="1"/>
  <c r="D319"/>
  <c r="B329" s="1"/>
  <c r="B319"/>
  <c r="B326" s="1"/>
  <c r="D317"/>
  <c r="C317"/>
  <c r="B317"/>
  <c r="E316"/>
  <c r="E315"/>
  <c r="E314"/>
  <c r="D309"/>
  <c r="C309"/>
  <c r="B309"/>
  <c r="E308"/>
  <c r="E307"/>
  <c r="E306"/>
  <c r="AY66"/>
  <c r="AY65"/>
  <c r="AY56"/>
  <c r="AY57"/>
  <c r="AY58"/>
  <c r="AY59"/>
  <c r="AY60"/>
  <c r="AY61"/>
  <c r="AX62"/>
  <c r="AY62"/>
  <c r="AY63"/>
  <c r="AY64"/>
  <c r="AY55"/>
  <c r="AY51"/>
  <c r="AY52"/>
  <c r="AY53"/>
  <c r="AX54"/>
  <c r="AY54"/>
  <c r="AY50"/>
  <c r="AY49"/>
  <c r="AY41"/>
  <c r="AY42"/>
  <c r="AY43"/>
  <c r="AY44"/>
  <c r="AY45"/>
  <c r="AX46"/>
  <c r="AY46"/>
  <c r="AY47"/>
  <c r="AY48"/>
  <c r="AY40"/>
  <c r="CF51"/>
  <c r="CD61" s="1"/>
  <c r="CD51"/>
  <c r="CD58" s="1"/>
  <c r="CF50"/>
  <c r="CD60" s="1"/>
  <c r="CD50"/>
  <c r="CD57" s="1"/>
  <c r="CF49"/>
  <c r="CD59" s="1"/>
  <c r="CD49"/>
  <c r="CD56" s="1"/>
  <c r="CD62" s="1"/>
  <c r="CF47"/>
  <c r="CE47"/>
  <c r="CD47"/>
  <c r="CG46"/>
  <c r="CG47" s="1"/>
  <c r="CG45"/>
  <c r="CF52" s="1"/>
  <c r="CG44"/>
  <c r="CD52" s="1"/>
  <c r="CF39"/>
  <c r="CQ36" s="1"/>
  <c r="AX66" s="1"/>
  <c r="CE39"/>
  <c r="CD39"/>
  <c r="CG38"/>
  <c r="CG37"/>
  <c r="CR36"/>
  <c r="CG36"/>
  <c r="CR35"/>
  <c r="CD27"/>
  <c r="CF21"/>
  <c r="CD31" s="1"/>
  <c r="CD21"/>
  <c r="CD28" s="1"/>
  <c r="CF20"/>
  <c r="CD30" s="1"/>
  <c r="CD20"/>
  <c r="CF19"/>
  <c r="CD29" s="1"/>
  <c r="CD19"/>
  <c r="CD26" s="1"/>
  <c r="CF17"/>
  <c r="CE17"/>
  <c r="CD17"/>
  <c r="CG16"/>
  <c r="CG17" s="1"/>
  <c r="CG15"/>
  <c r="CG14"/>
  <c r="CD22" s="1"/>
  <c r="CF9"/>
  <c r="CQ35" s="1"/>
  <c r="AX65" s="1"/>
  <c r="CE9"/>
  <c r="CD9"/>
  <c r="CG8"/>
  <c r="CG7"/>
  <c r="CF22" s="1"/>
  <c r="CG6"/>
  <c r="BH298"/>
  <c r="BJ293"/>
  <c r="BJ292"/>
  <c r="BH302" s="1"/>
  <c r="BH292"/>
  <c r="BH299" s="1"/>
  <c r="BJ291"/>
  <c r="BH301" s="1"/>
  <c r="BH291"/>
  <c r="BJ290"/>
  <c r="BH300" s="1"/>
  <c r="BH290"/>
  <c r="BH297" s="1"/>
  <c r="BJ288"/>
  <c r="BI288"/>
  <c r="BH288"/>
  <c r="BK287"/>
  <c r="BK288" s="1"/>
  <c r="BK286"/>
  <c r="BK285"/>
  <c r="BH293" s="1"/>
  <c r="BJ280"/>
  <c r="BI280"/>
  <c r="BH280"/>
  <c r="BK279"/>
  <c r="BK278"/>
  <c r="BK277"/>
  <c r="BH268"/>
  <c r="BJ263"/>
  <c r="BJ262"/>
  <c r="BH272" s="1"/>
  <c r="BH262"/>
  <c r="BH269" s="1"/>
  <c r="BJ261"/>
  <c r="BH271" s="1"/>
  <c r="BH261"/>
  <c r="BJ260"/>
  <c r="BH270" s="1"/>
  <c r="BH260"/>
  <c r="BH267" s="1"/>
  <c r="BJ258"/>
  <c r="BI258"/>
  <c r="BH258"/>
  <c r="BK257"/>
  <c r="BK258" s="1"/>
  <c r="BK256"/>
  <c r="BK255"/>
  <c r="BH263" s="1"/>
  <c r="BJ250"/>
  <c r="BI250"/>
  <c r="BH250"/>
  <c r="BK249"/>
  <c r="BK248"/>
  <c r="BK247"/>
  <c r="BH237"/>
  <c r="BJ232"/>
  <c r="BJ231"/>
  <c r="BH241" s="1"/>
  <c r="BH231"/>
  <c r="BH238" s="1"/>
  <c r="BJ230"/>
  <c r="BH240" s="1"/>
  <c r="BH230"/>
  <c r="BJ229"/>
  <c r="BH239" s="1"/>
  <c r="BH229"/>
  <c r="BH236" s="1"/>
  <c r="BJ227"/>
  <c r="BI227"/>
  <c r="BH227"/>
  <c r="BK226"/>
  <c r="BK227" s="1"/>
  <c r="BK225"/>
  <c r="BK224"/>
  <c r="BH232" s="1"/>
  <c r="BJ219"/>
  <c r="BU42" s="1"/>
  <c r="BI219"/>
  <c r="BH219"/>
  <c r="BK218"/>
  <c r="BK217"/>
  <c r="BK216"/>
  <c r="BH207"/>
  <c r="BJ202"/>
  <c r="BJ201"/>
  <c r="BH211" s="1"/>
  <c r="BH201"/>
  <c r="BH208" s="1"/>
  <c r="BJ200"/>
  <c r="BH210" s="1"/>
  <c r="BH200"/>
  <c r="BJ199"/>
  <c r="BH209" s="1"/>
  <c r="BH199"/>
  <c r="BH206" s="1"/>
  <c r="BJ197"/>
  <c r="BI197"/>
  <c r="BH197"/>
  <c r="BK196"/>
  <c r="BK197" s="1"/>
  <c r="BK195"/>
  <c r="BK194"/>
  <c r="BH202" s="1"/>
  <c r="BJ189"/>
  <c r="BU41" s="1"/>
  <c r="AX61" s="1"/>
  <c r="BI189"/>
  <c r="BH189"/>
  <c r="BK188"/>
  <c r="BK187"/>
  <c r="BK186"/>
  <c r="BH177"/>
  <c r="BJ171"/>
  <c r="BH181" s="1"/>
  <c r="BH171"/>
  <c r="BH178" s="1"/>
  <c r="BJ170"/>
  <c r="BH180" s="1"/>
  <c r="BH170"/>
  <c r="BJ169"/>
  <c r="BH179" s="1"/>
  <c r="BH169"/>
  <c r="BH176" s="1"/>
  <c r="BJ167"/>
  <c r="BI167"/>
  <c r="BH167"/>
  <c r="BK166"/>
  <c r="BK165"/>
  <c r="BJ172" s="1"/>
  <c r="BK173"/>
  <c r="L38" i="10" s="1"/>
  <c r="BK164" i="37"/>
  <c r="BJ159"/>
  <c r="BU40" s="1"/>
  <c r="AX60" s="1"/>
  <c r="BI159"/>
  <c r="BH159"/>
  <c r="BK158"/>
  <c r="BK157"/>
  <c r="BK170"/>
  <c r="K38" i="10" s="1"/>
  <c r="BK156" i="37"/>
  <c r="BH147"/>
  <c r="BJ142"/>
  <c r="BJ141"/>
  <c r="BH151" s="1"/>
  <c r="BH141"/>
  <c r="BH148" s="1"/>
  <c r="BJ140"/>
  <c r="BH150" s="1"/>
  <c r="BH140"/>
  <c r="BJ139"/>
  <c r="BH149" s="1"/>
  <c r="BH139"/>
  <c r="BH146" s="1"/>
  <c r="BJ137"/>
  <c r="BI137"/>
  <c r="BH137"/>
  <c r="BK136"/>
  <c r="BK137" s="1"/>
  <c r="BK135"/>
  <c r="BK134"/>
  <c r="BH142" s="1"/>
  <c r="BJ129"/>
  <c r="BU39" s="1"/>
  <c r="AX59" s="1"/>
  <c r="BI129"/>
  <c r="BH129"/>
  <c r="BK128"/>
  <c r="BK127"/>
  <c r="BK126"/>
  <c r="BH117"/>
  <c r="BJ112"/>
  <c r="BJ111"/>
  <c r="BH121" s="1"/>
  <c r="BH111"/>
  <c r="BH118" s="1"/>
  <c r="BJ110"/>
  <c r="BH120" s="1"/>
  <c r="BH110"/>
  <c r="BJ109"/>
  <c r="BH119" s="1"/>
  <c r="BH109"/>
  <c r="BH116" s="1"/>
  <c r="BJ107"/>
  <c r="BI107"/>
  <c r="BH107"/>
  <c r="BK106"/>
  <c r="BK107" s="1"/>
  <c r="BK105"/>
  <c r="BK104"/>
  <c r="BH112" s="1"/>
  <c r="BJ99"/>
  <c r="BU38" s="1"/>
  <c r="AX58" s="1"/>
  <c r="BI99"/>
  <c r="BH99"/>
  <c r="BK98"/>
  <c r="BK97"/>
  <c r="BK96"/>
  <c r="BJ81"/>
  <c r="BH91" s="1"/>
  <c r="BH81"/>
  <c r="BH88" s="1"/>
  <c r="BJ80"/>
  <c r="BH90" s="1"/>
  <c r="BH80"/>
  <c r="BH87" s="1"/>
  <c r="BJ79"/>
  <c r="BH89" s="1"/>
  <c r="BH79"/>
  <c r="BH86" s="1"/>
  <c r="BJ77"/>
  <c r="BI77"/>
  <c r="BH77"/>
  <c r="BK76"/>
  <c r="BK75"/>
  <c r="BK74"/>
  <c r="BJ69"/>
  <c r="BI69"/>
  <c r="BH69"/>
  <c r="BK68"/>
  <c r="BK67"/>
  <c r="BK66"/>
  <c r="BJ51"/>
  <c r="BH61" s="1"/>
  <c r="BH51"/>
  <c r="BH58" s="1"/>
  <c r="BJ50"/>
  <c r="BH60" s="1"/>
  <c r="BH50"/>
  <c r="BH57" s="1"/>
  <c r="BJ49"/>
  <c r="BH59" s="1"/>
  <c r="BH49"/>
  <c r="BH56" s="1"/>
  <c r="BJ47"/>
  <c r="BI47"/>
  <c r="BH47"/>
  <c r="BK46"/>
  <c r="BK45"/>
  <c r="BV44"/>
  <c r="BU44"/>
  <c r="AX64" s="1"/>
  <c r="BK44"/>
  <c r="BV43"/>
  <c r="BU43"/>
  <c r="AX63" s="1"/>
  <c r="BV42"/>
  <c r="BV41"/>
  <c r="BV40"/>
  <c r="BV39"/>
  <c r="BJ39"/>
  <c r="BI39"/>
  <c r="BH39"/>
  <c r="BV38"/>
  <c r="BK38"/>
  <c r="BV37"/>
  <c r="BK37"/>
  <c r="BV36"/>
  <c r="BK36"/>
  <c r="BV35"/>
  <c r="BH27"/>
  <c r="BJ22"/>
  <c r="BJ21"/>
  <c r="BH31" s="1"/>
  <c r="BH21"/>
  <c r="BH28" s="1"/>
  <c r="BJ20"/>
  <c r="BH30" s="1"/>
  <c r="BH20"/>
  <c r="BJ19"/>
  <c r="BH29" s="1"/>
  <c r="BH19"/>
  <c r="BH26" s="1"/>
  <c r="BJ17"/>
  <c r="BI17"/>
  <c r="BH17"/>
  <c r="BK16"/>
  <c r="BK17" s="1"/>
  <c r="BK15"/>
  <c r="BK14"/>
  <c r="BH22" s="1"/>
  <c r="BP11"/>
  <c r="BQ11" s="1"/>
  <c r="BR11" s="1"/>
  <c r="BS11" s="1"/>
  <c r="BT11" s="1"/>
  <c r="BU11" s="1"/>
  <c r="BV11" s="1"/>
  <c r="BW11" s="1"/>
  <c r="BX11" s="1"/>
  <c r="BY11" s="1"/>
  <c r="BZ11" s="1"/>
  <c r="CA11" s="1"/>
  <c r="CB11" s="1"/>
  <c r="BO11"/>
  <c r="BJ9"/>
  <c r="BU35" s="1"/>
  <c r="AX55" s="1"/>
  <c r="BI9"/>
  <c r="BH9"/>
  <c r="BK8"/>
  <c r="BK7"/>
  <c r="BK6"/>
  <c r="AM141"/>
  <c r="AK151" s="1"/>
  <c r="AK141"/>
  <c r="AK148" s="1"/>
  <c r="AM140"/>
  <c r="AK150" s="1"/>
  <c r="AK140"/>
  <c r="AK147" s="1"/>
  <c r="AM139"/>
  <c r="AK149" s="1"/>
  <c r="AK139"/>
  <c r="AK146" s="1"/>
  <c r="AK152" s="1"/>
  <c r="AM137"/>
  <c r="AL137"/>
  <c r="AK137"/>
  <c r="AN136"/>
  <c r="AN135"/>
  <c r="AM142" s="1"/>
  <c r="AN134"/>
  <c r="AN137" s="1"/>
  <c r="AM129"/>
  <c r="AX39" s="1"/>
  <c r="AL129"/>
  <c r="AK129"/>
  <c r="AN128"/>
  <c r="AN127"/>
  <c r="AN126"/>
  <c r="AM111"/>
  <c r="AK121" s="1"/>
  <c r="AK111"/>
  <c r="AK118" s="1"/>
  <c r="AM110"/>
  <c r="AK120" s="1"/>
  <c r="AK110"/>
  <c r="AK117" s="1"/>
  <c r="AM109"/>
  <c r="AK119" s="1"/>
  <c r="AK109"/>
  <c r="AK116" s="1"/>
  <c r="AK122" s="1"/>
  <c r="AM107"/>
  <c r="AL107"/>
  <c r="AK107"/>
  <c r="AN106"/>
  <c r="AN105"/>
  <c r="AM112" s="1"/>
  <c r="AN104"/>
  <c r="AN107" s="1"/>
  <c r="AM99"/>
  <c r="AX38" s="1"/>
  <c r="AL99"/>
  <c r="AK99"/>
  <c r="AN98"/>
  <c r="AN97"/>
  <c r="AN96"/>
  <c r="AM81"/>
  <c r="AK91" s="1"/>
  <c r="AK81"/>
  <c r="AK88" s="1"/>
  <c r="AM80"/>
  <c r="AK90" s="1"/>
  <c r="AK80"/>
  <c r="AK87" s="1"/>
  <c r="AM79"/>
  <c r="AK89" s="1"/>
  <c r="AK79"/>
  <c r="AK86" s="1"/>
  <c r="AK92" s="1"/>
  <c r="AM77"/>
  <c r="AL77"/>
  <c r="AK77"/>
  <c r="AN76"/>
  <c r="AN75"/>
  <c r="AM82" s="1"/>
  <c r="AN74"/>
  <c r="AN77" s="1"/>
  <c r="AM69"/>
  <c r="AX37" s="1"/>
  <c r="AL69"/>
  <c r="AK69"/>
  <c r="AN68"/>
  <c r="AN67"/>
  <c r="AN66"/>
  <c r="AM51"/>
  <c r="AK61" s="1"/>
  <c r="AK51"/>
  <c r="AK58" s="1"/>
  <c r="AM50"/>
  <c r="AK60" s="1"/>
  <c r="AK50"/>
  <c r="AK57" s="1"/>
  <c r="AM49"/>
  <c r="AK59" s="1"/>
  <c r="AK49"/>
  <c r="AK56" s="1"/>
  <c r="AK62" s="1"/>
  <c r="AM47"/>
  <c r="AL47"/>
  <c r="AK47"/>
  <c r="AN46"/>
  <c r="AN45"/>
  <c r="AM52" s="1"/>
  <c r="AN44"/>
  <c r="AN47" s="1"/>
  <c r="AY39"/>
  <c r="AM39"/>
  <c r="AX36" s="1"/>
  <c r="AL39"/>
  <c r="AK39"/>
  <c r="AY38"/>
  <c r="AN38"/>
  <c r="AY37"/>
  <c r="AN37"/>
  <c r="AY36"/>
  <c r="AN36"/>
  <c r="AY35"/>
  <c r="AM21"/>
  <c r="AK31" s="1"/>
  <c r="AK21"/>
  <c r="AK28" s="1"/>
  <c r="AM20"/>
  <c r="AK30" s="1"/>
  <c r="AK20"/>
  <c r="AK27" s="1"/>
  <c r="AM19"/>
  <c r="AK29" s="1"/>
  <c r="AK19"/>
  <c r="AK26" s="1"/>
  <c r="AM17"/>
  <c r="AL17"/>
  <c r="AK17"/>
  <c r="AN16"/>
  <c r="AN15"/>
  <c r="AN23"/>
  <c r="D28" i="10" s="1"/>
  <c r="AN14" i="37"/>
  <c r="AR11"/>
  <c r="AS11" s="1"/>
  <c r="AT11" s="1"/>
  <c r="AU11" s="1"/>
  <c r="AV11" s="1"/>
  <c r="AW11" s="1"/>
  <c r="AX11" s="1"/>
  <c r="AY11" s="1"/>
  <c r="AZ11" s="1"/>
  <c r="BA11" s="1"/>
  <c r="BB11" s="1"/>
  <c r="BC11" s="1"/>
  <c r="BD11" s="1"/>
  <c r="BE11" s="1"/>
  <c r="AM9"/>
  <c r="AL9"/>
  <c r="AK9"/>
  <c r="AN8"/>
  <c r="AN7"/>
  <c r="AN20"/>
  <c r="C28" i="10" s="1"/>
  <c r="AN6" i="37"/>
  <c r="V141"/>
  <c r="T151" s="1"/>
  <c r="T141"/>
  <c r="T148" s="1"/>
  <c r="V140"/>
  <c r="T150" s="1"/>
  <c r="T140"/>
  <c r="T147" s="1"/>
  <c r="V139"/>
  <c r="T149" s="1"/>
  <c r="T139"/>
  <c r="T146" s="1"/>
  <c r="V137"/>
  <c r="U137"/>
  <c r="T137"/>
  <c r="W136"/>
  <c r="W137" s="1"/>
  <c r="W135"/>
  <c r="V142" s="1"/>
  <c r="W134"/>
  <c r="T142" s="1"/>
  <c r="V129"/>
  <c r="AG39" s="1"/>
  <c r="U129"/>
  <c r="T129"/>
  <c r="W128"/>
  <c r="W127"/>
  <c r="W126"/>
  <c r="T117"/>
  <c r="V112"/>
  <c r="V111"/>
  <c r="T121" s="1"/>
  <c r="T111"/>
  <c r="T118" s="1"/>
  <c r="V110"/>
  <c r="T120" s="1"/>
  <c r="T110"/>
  <c r="V109"/>
  <c r="T119" s="1"/>
  <c r="T109"/>
  <c r="T116" s="1"/>
  <c r="V107"/>
  <c r="U107"/>
  <c r="T107"/>
  <c r="W106"/>
  <c r="W107" s="1"/>
  <c r="W105"/>
  <c r="W104"/>
  <c r="T112" s="1"/>
  <c r="V99"/>
  <c r="AG38" s="1"/>
  <c r="AX53" s="1"/>
  <c r="U99"/>
  <c r="T99"/>
  <c r="W98"/>
  <c r="W97"/>
  <c r="W96"/>
  <c r="T87"/>
  <c r="V82"/>
  <c r="V81"/>
  <c r="T91" s="1"/>
  <c r="T81"/>
  <c r="T88" s="1"/>
  <c r="V80"/>
  <c r="T90" s="1"/>
  <c r="T80"/>
  <c r="V79"/>
  <c r="T89" s="1"/>
  <c r="T79"/>
  <c r="T86" s="1"/>
  <c r="V77"/>
  <c r="U77"/>
  <c r="T77"/>
  <c r="W76"/>
  <c r="W77" s="1"/>
  <c r="W75"/>
  <c r="W74"/>
  <c r="T82" s="1"/>
  <c r="V69"/>
  <c r="AG37" s="1"/>
  <c r="AX52" s="1"/>
  <c r="U69"/>
  <c r="T69"/>
  <c r="W68"/>
  <c r="W67"/>
  <c r="W66"/>
  <c r="T57"/>
  <c r="V52"/>
  <c r="V51"/>
  <c r="T61" s="1"/>
  <c r="T51"/>
  <c r="T58" s="1"/>
  <c r="V50"/>
  <c r="T60" s="1"/>
  <c r="T50"/>
  <c r="V49"/>
  <c r="T59" s="1"/>
  <c r="T49"/>
  <c r="T56" s="1"/>
  <c r="V47"/>
  <c r="U47"/>
  <c r="T47"/>
  <c r="W46"/>
  <c r="W47" s="1"/>
  <c r="W45"/>
  <c r="W44"/>
  <c r="T52" s="1"/>
  <c r="AH39"/>
  <c r="V39"/>
  <c r="AG36" s="1"/>
  <c r="AX51" s="1"/>
  <c r="U39"/>
  <c r="T39"/>
  <c r="AH38"/>
  <c r="W38"/>
  <c r="AH37"/>
  <c r="W37"/>
  <c r="AH36"/>
  <c r="W36"/>
  <c r="AH35"/>
  <c r="T27"/>
  <c r="V22"/>
  <c r="V21"/>
  <c r="T31" s="1"/>
  <c r="T21"/>
  <c r="T28" s="1"/>
  <c r="V20"/>
  <c r="T30" s="1"/>
  <c r="T20"/>
  <c r="V19"/>
  <c r="T29" s="1"/>
  <c r="T19"/>
  <c r="T26" s="1"/>
  <c r="T32" s="1"/>
  <c r="V17"/>
  <c r="U17"/>
  <c r="T17"/>
  <c r="W16"/>
  <c r="W17" s="1"/>
  <c r="W15"/>
  <c r="W14"/>
  <c r="T22" s="1"/>
  <c r="V9"/>
  <c r="AG35" s="1"/>
  <c r="AX50" s="1"/>
  <c r="U9"/>
  <c r="T9"/>
  <c r="W8"/>
  <c r="W7"/>
  <c r="W6"/>
  <c r="D291"/>
  <c r="B301" s="1"/>
  <c r="B291"/>
  <c r="B298" s="1"/>
  <c r="D290"/>
  <c r="B300" s="1"/>
  <c r="B290"/>
  <c r="B297" s="1"/>
  <c r="D289"/>
  <c r="B299" s="1"/>
  <c r="B289"/>
  <c r="B296" s="1"/>
  <c r="B302" s="1"/>
  <c r="D287"/>
  <c r="C287"/>
  <c r="B287"/>
  <c r="E286"/>
  <c r="E285"/>
  <c r="D292" s="1"/>
  <c r="E284"/>
  <c r="E287" s="1"/>
  <c r="D279"/>
  <c r="O44" s="1"/>
  <c r="AX49" s="1"/>
  <c r="C279"/>
  <c r="B279"/>
  <c r="E278"/>
  <c r="E277"/>
  <c r="E276"/>
  <c r="B267"/>
  <c r="D261"/>
  <c r="B271" s="1"/>
  <c r="B261"/>
  <c r="B268" s="1"/>
  <c r="D260"/>
  <c r="B270" s="1"/>
  <c r="B260"/>
  <c r="D259"/>
  <c r="B269" s="1"/>
  <c r="B259"/>
  <c r="B266" s="1"/>
  <c r="D257"/>
  <c r="C257"/>
  <c r="B257"/>
  <c r="E256"/>
  <c r="E257" s="1"/>
  <c r="E255"/>
  <c r="D262" s="1"/>
  <c r="E254"/>
  <c r="B262" s="1"/>
  <c r="D249"/>
  <c r="O43" s="1"/>
  <c r="AX48" s="1"/>
  <c r="C249"/>
  <c r="B249"/>
  <c r="E248"/>
  <c r="E247"/>
  <c r="E246"/>
  <c r="B237"/>
  <c r="D231"/>
  <c r="B241" s="1"/>
  <c r="B231"/>
  <c r="B238" s="1"/>
  <c r="D230"/>
  <c r="B240" s="1"/>
  <c r="B230"/>
  <c r="D229"/>
  <c r="B239" s="1"/>
  <c r="B229"/>
  <c r="B236" s="1"/>
  <c r="B242" s="1"/>
  <c r="D227"/>
  <c r="C227"/>
  <c r="B227"/>
  <c r="E226"/>
  <c r="E227" s="1"/>
  <c r="E225"/>
  <c r="D232" s="1"/>
  <c r="E224"/>
  <c r="B232" s="1"/>
  <c r="D219"/>
  <c r="O42" s="1"/>
  <c r="AX47" s="1"/>
  <c r="C219"/>
  <c r="B219"/>
  <c r="E218"/>
  <c r="E217"/>
  <c r="E216"/>
  <c r="B207"/>
  <c r="D201"/>
  <c r="B211" s="1"/>
  <c r="B201"/>
  <c r="B208" s="1"/>
  <c r="D200"/>
  <c r="B210" s="1"/>
  <c r="B200"/>
  <c r="D199"/>
  <c r="B209" s="1"/>
  <c r="B199"/>
  <c r="B206" s="1"/>
  <c r="D197"/>
  <c r="C197"/>
  <c r="B197"/>
  <c r="E196"/>
  <c r="E197" s="1"/>
  <c r="E195"/>
  <c r="E194"/>
  <c r="B202" s="1"/>
  <c r="D189"/>
  <c r="O41" s="1"/>
  <c r="C189"/>
  <c r="B189"/>
  <c r="E188"/>
  <c r="E187"/>
  <c r="D202" s="1"/>
  <c r="E186"/>
  <c r="B177"/>
  <c r="D172"/>
  <c r="D171"/>
  <c r="B181" s="1"/>
  <c r="B171"/>
  <c r="B178" s="1"/>
  <c r="D170"/>
  <c r="B180" s="1"/>
  <c r="B170"/>
  <c r="D169"/>
  <c r="B179" s="1"/>
  <c r="B169"/>
  <c r="B176" s="1"/>
  <c r="D167"/>
  <c r="C167"/>
  <c r="B167"/>
  <c r="E166"/>
  <c r="E167" s="1"/>
  <c r="E165"/>
  <c r="E164"/>
  <c r="B172" s="1"/>
  <c r="D159"/>
  <c r="O40" s="1"/>
  <c r="AX45" s="1"/>
  <c r="C159"/>
  <c r="B159"/>
  <c r="E158"/>
  <c r="E157"/>
  <c r="E156"/>
  <c r="B147"/>
  <c r="D142"/>
  <c r="D141"/>
  <c r="B151" s="1"/>
  <c r="B141"/>
  <c r="B148" s="1"/>
  <c r="D140"/>
  <c r="B150" s="1"/>
  <c r="B140"/>
  <c r="D139"/>
  <c r="B149" s="1"/>
  <c r="B139"/>
  <c r="B146" s="1"/>
  <c r="D137"/>
  <c r="C137"/>
  <c r="B137"/>
  <c r="E136"/>
  <c r="E137" s="1"/>
  <c r="E135"/>
  <c r="E134"/>
  <c r="B142" s="1"/>
  <c r="D129"/>
  <c r="O39" s="1"/>
  <c r="AX44" s="1"/>
  <c r="C129"/>
  <c r="B129"/>
  <c r="E128"/>
  <c r="E127"/>
  <c r="E126"/>
  <c r="B117"/>
  <c r="D112"/>
  <c r="D111"/>
  <c r="B121" s="1"/>
  <c r="B111"/>
  <c r="B118" s="1"/>
  <c r="D110"/>
  <c r="B120" s="1"/>
  <c r="B110"/>
  <c r="D109"/>
  <c r="B119" s="1"/>
  <c r="B109"/>
  <c r="B116" s="1"/>
  <c r="D107"/>
  <c r="C107"/>
  <c r="B107"/>
  <c r="E106"/>
  <c r="E107" s="1"/>
  <c r="E105"/>
  <c r="E104"/>
  <c r="B112" s="1"/>
  <c r="D99"/>
  <c r="O38" s="1"/>
  <c r="AX43" s="1"/>
  <c r="C99"/>
  <c r="B99"/>
  <c r="E98"/>
  <c r="E97"/>
  <c r="E96"/>
  <c r="B87"/>
  <c r="D82"/>
  <c r="D81"/>
  <c r="B91" s="1"/>
  <c r="B81"/>
  <c r="B88" s="1"/>
  <c r="D80"/>
  <c r="B90" s="1"/>
  <c r="B80"/>
  <c r="D79"/>
  <c r="B89" s="1"/>
  <c r="B79"/>
  <c r="B86" s="1"/>
  <c r="D77"/>
  <c r="C77"/>
  <c r="B77"/>
  <c r="E76"/>
  <c r="E77" s="1"/>
  <c r="E75"/>
  <c r="E74"/>
  <c r="B82" s="1"/>
  <c r="D69"/>
  <c r="O37" s="1"/>
  <c r="AX42" s="1"/>
  <c r="C69"/>
  <c r="B69"/>
  <c r="E68"/>
  <c r="E67"/>
  <c r="E66"/>
  <c r="B57"/>
  <c r="D52"/>
  <c r="D51"/>
  <c r="B61" s="1"/>
  <c r="B51"/>
  <c r="B58" s="1"/>
  <c r="D50"/>
  <c r="B60" s="1"/>
  <c r="B50"/>
  <c r="D49"/>
  <c r="B59" s="1"/>
  <c r="B49"/>
  <c r="B56" s="1"/>
  <c r="D47"/>
  <c r="C47"/>
  <c r="B47"/>
  <c r="E46"/>
  <c r="E47" s="1"/>
  <c r="E45"/>
  <c r="P44"/>
  <c r="E44"/>
  <c r="B52" s="1"/>
  <c r="P43"/>
  <c r="P42"/>
  <c r="P41"/>
  <c r="P40"/>
  <c r="P39"/>
  <c r="D39"/>
  <c r="O36" s="1"/>
  <c r="AX41" s="1"/>
  <c r="C39"/>
  <c r="B39"/>
  <c r="P38"/>
  <c r="E38"/>
  <c r="P37"/>
  <c r="E37"/>
  <c r="P36"/>
  <c r="E36"/>
  <c r="P35"/>
  <c r="B27"/>
  <c r="D22"/>
  <c r="D21"/>
  <c r="B31" s="1"/>
  <c r="B21"/>
  <c r="B28" s="1"/>
  <c r="D20"/>
  <c r="B30" s="1"/>
  <c r="B20"/>
  <c r="D19"/>
  <c r="B29" s="1"/>
  <c r="B19"/>
  <c r="B26" s="1"/>
  <c r="D17"/>
  <c r="C17"/>
  <c r="B17"/>
  <c r="E16"/>
  <c r="E17" s="1"/>
  <c r="E15"/>
  <c r="E14"/>
  <c r="B22" s="1"/>
  <c r="D9"/>
  <c r="O35" s="1"/>
  <c r="AX40" s="1"/>
  <c r="C9"/>
  <c r="B9"/>
  <c r="E8"/>
  <c r="E7"/>
  <c r="E6"/>
  <c r="N6" i="10"/>
  <c r="L52" s="1"/>
  <c r="M6"/>
  <c r="V41" s="1"/>
  <c r="U10"/>
  <c r="T10"/>
  <c r="T9"/>
  <c r="B41"/>
  <c r="I53" s="1"/>
  <c r="F6"/>
  <c r="L49" s="1"/>
  <c r="F16"/>
  <c r="V38"/>
  <c r="U11"/>
  <c r="E16"/>
  <c r="E6"/>
  <c r="V40" s="1"/>
  <c r="DX7" i="3"/>
  <c r="DX6"/>
  <c r="DX5"/>
  <c r="DO7"/>
  <c r="DO6"/>
  <c r="DO5"/>
  <c r="CF6"/>
  <c r="CF5"/>
  <c r="CF4"/>
  <c r="BW6"/>
  <c r="BW5"/>
  <c r="BW4"/>
  <c r="DA6"/>
  <c r="DA5"/>
  <c r="DA4"/>
  <c r="CR6"/>
  <c r="CR5"/>
  <c r="CR4"/>
  <c r="BF17"/>
  <c r="BG17"/>
  <c r="BH17"/>
  <c r="BI17"/>
  <c r="BJ17"/>
  <c r="BK17"/>
  <c r="BL17"/>
  <c r="BM17"/>
  <c r="BN17"/>
  <c r="BF18"/>
  <c r="BG18"/>
  <c r="BH18"/>
  <c r="BI18"/>
  <c r="BJ18"/>
  <c r="BK18"/>
  <c r="BL18"/>
  <c r="BM18"/>
  <c r="BN18"/>
  <c r="BF19"/>
  <c r="BG19"/>
  <c r="BH19"/>
  <c r="BI19"/>
  <c r="BJ19"/>
  <c r="BK19"/>
  <c r="BL19"/>
  <c r="BM19"/>
  <c r="BN19"/>
  <c r="BF20"/>
  <c r="BG20"/>
  <c r="BH20"/>
  <c r="BI20"/>
  <c r="BJ20"/>
  <c r="BK20"/>
  <c r="BL20"/>
  <c r="BM20"/>
  <c r="BN20"/>
  <c r="BF21"/>
  <c r="BG21"/>
  <c r="BH21"/>
  <c r="BI21"/>
  <c r="BJ21"/>
  <c r="BK21"/>
  <c r="BL21"/>
  <c r="BM21"/>
  <c r="BN21"/>
  <c r="BF22"/>
  <c r="BG22"/>
  <c r="BH22"/>
  <c r="BI22"/>
  <c r="BJ22"/>
  <c r="BK22"/>
  <c r="BL22"/>
  <c r="BM22"/>
  <c r="BN22"/>
  <c r="BG16"/>
  <c r="BH16"/>
  <c r="BI16"/>
  <c r="BJ16"/>
  <c r="BK16"/>
  <c r="BL16"/>
  <c r="BM16"/>
  <c r="BN16"/>
  <c r="BF16"/>
  <c r="AB36"/>
  <c r="U5"/>
  <c r="S27"/>
  <c r="T76" s="1"/>
  <c r="C21"/>
  <c r="AB33" s="1"/>
  <c r="AB45" s="1"/>
  <c r="C20"/>
  <c r="AB32" s="1"/>
  <c r="AB44" s="1"/>
  <c r="C19"/>
  <c r="AB31" s="1"/>
  <c r="AB43" s="1"/>
  <c r="C18"/>
  <c r="C17"/>
  <c r="AB29" s="1"/>
  <c r="AB41" s="1"/>
  <c r="C16"/>
  <c r="AB28" s="1"/>
  <c r="AB40" s="1"/>
  <c r="K21"/>
  <c r="J21"/>
  <c r="I21"/>
  <c r="AH33" s="1"/>
  <c r="H21"/>
  <c r="AG33" s="1"/>
  <c r="AG45" s="1"/>
  <c r="G21"/>
  <c r="AF33" s="1"/>
  <c r="AF45" s="1"/>
  <c r="F21"/>
  <c r="AE33" s="1"/>
  <c r="AE45" s="1"/>
  <c r="E21"/>
  <c r="AD33" s="1"/>
  <c r="AD45" s="1"/>
  <c r="D21"/>
  <c r="AC33" s="1"/>
  <c r="AC45" s="1"/>
  <c r="K20"/>
  <c r="J20"/>
  <c r="I20"/>
  <c r="AH32" s="1"/>
  <c r="AH44" s="1"/>
  <c r="H20"/>
  <c r="AG32" s="1"/>
  <c r="G20"/>
  <c r="AF32" s="1"/>
  <c r="AF44" s="1"/>
  <c r="F20"/>
  <c r="AE32" s="1"/>
  <c r="AE44" s="1"/>
  <c r="E20"/>
  <c r="AD32" s="1"/>
  <c r="AD44" s="1"/>
  <c r="D20"/>
  <c r="AC32" s="1"/>
  <c r="AC44" s="1"/>
  <c r="K19"/>
  <c r="J19"/>
  <c r="I19"/>
  <c r="AH31" s="1"/>
  <c r="AH43" s="1"/>
  <c r="H19"/>
  <c r="AG31" s="1"/>
  <c r="AG43" s="1"/>
  <c r="G19"/>
  <c r="AF31" s="1"/>
  <c r="F19"/>
  <c r="AE31" s="1"/>
  <c r="AE43" s="1"/>
  <c r="E19"/>
  <c r="AD31" s="1"/>
  <c r="AD43" s="1"/>
  <c r="D19"/>
  <c r="AC31" s="1"/>
  <c r="AC43" s="1"/>
  <c r="K18"/>
  <c r="J18"/>
  <c r="I18"/>
  <c r="AH30" s="1"/>
  <c r="AH42" s="1"/>
  <c r="H18"/>
  <c r="AG30" s="1"/>
  <c r="AG42" s="1"/>
  <c r="G18"/>
  <c r="AF30" s="1"/>
  <c r="AF42" s="1"/>
  <c r="F18"/>
  <c r="AE30" s="1"/>
  <c r="E18"/>
  <c r="AD30" s="1"/>
  <c r="AD42" s="1"/>
  <c r="D18"/>
  <c r="AC30" s="1"/>
  <c r="AC42" s="1"/>
  <c r="K17"/>
  <c r="J17"/>
  <c r="I17"/>
  <c r="AH29" s="1"/>
  <c r="AH41" s="1"/>
  <c r="H17"/>
  <c r="AG29" s="1"/>
  <c r="AG41" s="1"/>
  <c r="G17"/>
  <c r="AF29" s="1"/>
  <c r="AF41" s="1"/>
  <c r="F17"/>
  <c r="AE29" s="1"/>
  <c r="AE41" s="1"/>
  <c r="E17"/>
  <c r="AD29" s="1"/>
  <c r="D17"/>
  <c r="AC29" s="1"/>
  <c r="AC41" s="1"/>
  <c r="K16"/>
  <c r="J16"/>
  <c r="I16"/>
  <c r="AH28" s="1"/>
  <c r="AH40" s="1"/>
  <c r="H16"/>
  <c r="AG28" s="1"/>
  <c r="AG40" s="1"/>
  <c r="G16"/>
  <c r="AF28" s="1"/>
  <c r="AF40" s="1"/>
  <c r="F16"/>
  <c r="AE28" s="1"/>
  <c r="AE40" s="1"/>
  <c r="E16"/>
  <c r="E28" s="1"/>
  <c r="D16"/>
  <c r="AC28" s="1"/>
  <c r="K15"/>
  <c r="J15"/>
  <c r="I15"/>
  <c r="AH27" s="1"/>
  <c r="AH39" s="1"/>
  <c r="H15"/>
  <c r="AG27" s="1"/>
  <c r="AG39" s="1"/>
  <c r="G15"/>
  <c r="AF27" s="1"/>
  <c r="AF39" s="1"/>
  <c r="F15"/>
  <c r="AE27" s="1"/>
  <c r="AE39" s="1"/>
  <c r="E15"/>
  <c r="AD27" s="1"/>
  <c r="AD39" s="1"/>
  <c r="D15"/>
  <c r="AC27" s="1"/>
  <c r="AC39" s="1"/>
  <c r="C15"/>
  <c r="AB27" s="1"/>
  <c r="B60" i="1"/>
  <c r="L18"/>
  <c r="L19" s="1"/>
  <c r="L17"/>
  <c r="L15"/>
  <c r="D51"/>
  <c r="D52"/>
  <c r="C44"/>
  <c r="D41"/>
  <c r="D42"/>
  <c r="D40"/>
  <c r="C42"/>
  <c r="B42"/>
  <c r="C40"/>
  <c r="C41"/>
  <c r="F41" s="1"/>
  <c r="B41"/>
  <c r="B40"/>
  <c r="F40"/>
  <c r="O35"/>
  <c r="I33"/>
  <c r="D33"/>
  <c r="N35"/>
  <c r="M35"/>
  <c r="L35"/>
  <c r="G33"/>
  <c r="H33"/>
  <c r="F33"/>
  <c r="O30"/>
  <c r="N30"/>
  <c r="M30"/>
  <c r="L30"/>
  <c r="F13"/>
  <c r="F12"/>
  <c r="D13"/>
  <c r="E13" s="1"/>
  <c r="D12"/>
  <c r="E12" s="1"/>
  <c r="B14" s="1"/>
  <c r="AG443" i="10" l="1"/>
  <c r="AD444"/>
  <c r="AG444" s="1"/>
  <c r="D51" i="45"/>
  <c r="B56"/>
  <c r="C50"/>
  <c r="C56" s="1"/>
  <c r="D56" s="1"/>
  <c r="E50"/>
  <c r="B48"/>
  <c r="B49"/>
  <c r="C48"/>
  <c r="C54" s="1"/>
  <c r="D54" s="1"/>
  <c r="C49"/>
  <c r="C55" s="1"/>
  <c r="D55" s="1"/>
  <c r="D60"/>
  <c r="D61"/>
  <c r="D21"/>
  <c r="D22" s="1"/>
  <c r="J22" s="1"/>
  <c r="F18"/>
  <c r="E43"/>
  <c r="G7"/>
  <c r="BL69" i="37"/>
  <c r="BM69"/>
  <c r="BU37"/>
  <c r="AX57" s="1"/>
  <c r="BJ82"/>
  <c r="BH82"/>
  <c r="BL77"/>
  <c r="BM77"/>
  <c r="BK77"/>
  <c r="BL39"/>
  <c r="BM39"/>
  <c r="BU36"/>
  <c r="AX56" s="1"/>
  <c r="BJ52"/>
  <c r="BH52"/>
  <c r="BM47"/>
  <c r="BL47"/>
  <c r="BK47"/>
  <c r="AP159"/>
  <c r="AP167"/>
  <c r="AO167"/>
  <c r="C179" i="10"/>
  <c r="T11"/>
  <c r="E190"/>
  <c r="E188" s="1"/>
  <c r="E208"/>
  <c r="E206" s="1"/>
  <c r="U37"/>
  <c r="U40"/>
  <c r="U38"/>
  <c r="U41"/>
  <c r="C45"/>
  <c r="D45"/>
  <c r="N142"/>
  <c r="K36"/>
  <c r="J51" s="1"/>
  <c r="M51" s="1"/>
  <c r="L36"/>
  <c r="K51" s="1"/>
  <c r="N51" s="1"/>
  <c r="D36"/>
  <c r="K53" s="1"/>
  <c r="N53" s="1"/>
  <c r="C36"/>
  <c r="J53" s="1"/>
  <c r="M53" s="1"/>
  <c r="C26"/>
  <c r="J50" s="1"/>
  <c r="M50" s="1"/>
  <c r="D26"/>
  <c r="K50" s="1"/>
  <c r="N50" s="1"/>
  <c r="C16"/>
  <c r="D16"/>
  <c r="C6"/>
  <c r="J49" s="1"/>
  <c r="M49" s="1"/>
  <c r="D6"/>
  <c r="K49" s="1"/>
  <c r="N49" s="1"/>
  <c r="K6"/>
  <c r="J52" s="1"/>
  <c r="M52" s="1"/>
  <c r="L6"/>
  <c r="K52" s="1"/>
  <c r="N52" s="1"/>
  <c r="C132"/>
  <c r="C152"/>
  <c r="D122"/>
  <c r="C122"/>
  <c r="E132"/>
  <c r="D132"/>
  <c r="D179"/>
  <c r="F179"/>
  <c r="F190"/>
  <c r="F188" s="1"/>
  <c r="E30" i="38"/>
  <c r="E29"/>
  <c r="C30"/>
  <c r="C29"/>
  <c r="AB40"/>
  <c r="Q14"/>
  <c r="Q15"/>
  <c r="Q13"/>
  <c r="Q18"/>
  <c r="Q20"/>
  <c r="C28"/>
  <c r="E28"/>
  <c r="D29"/>
  <c r="D30"/>
  <c r="AE31"/>
  <c r="AE43" s="1"/>
  <c r="AF32"/>
  <c r="AF44" s="1"/>
  <c r="AG33"/>
  <c r="AG45" s="1"/>
  <c r="AH34"/>
  <c r="AH46" s="1"/>
  <c r="S37"/>
  <c r="R75"/>
  <c r="U78"/>
  <c r="T77"/>
  <c r="S76"/>
  <c r="Q19"/>
  <c r="D28"/>
  <c r="AE28"/>
  <c r="AE40" s="1"/>
  <c r="R36"/>
  <c r="BH172" i="37"/>
  <c r="BK167"/>
  <c r="AX35"/>
  <c r="AM22"/>
  <c r="AK22"/>
  <c r="AN17"/>
  <c r="AK32"/>
  <c r="E563"/>
  <c r="D562"/>
  <c r="B562"/>
  <c r="E549"/>
  <c r="D563"/>
  <c r="B566"/>
  <c r="B572" s="1"/>
  <c r="E557"/>
  <c r="O144" i="10"/>
  <c r="O142" s="1"/>
  <c r="P144"/>
  <c r="P142" s="1"/>
  <c r="E122"/>
  <c r="F161"/>
  <c r="D152"/>
  <c r="D142"/>
  <c r="F142"/>
  <c r="M132"/>
  <c r="L90"/>
  <c r="L110" s="1"/>
  <c r="K110"/>
  <c r="N110" s="1"/>
  <c r="D188"/>
  <c r="J118"/>
  <c r="M118" s="1"/>
  <c r="D197"/>
  <c r="F197"/>
  <c r="F208"/>
  <c r="F206" s="1"/>
  <c r="K120"/>
  <c r="N120" s="1"/>
  <c r="E161"/>
  <c r="C142"/>
  <c r="N132"/>
  <c r="BK411" i="37"/>
  <c r="C208" i="10" s="1"/>
  <c r="BJ413" i="37"/>
  <c r="BH413"/>
  <c r="BK400"/>
  <c r="BJ414"/>
  <c r="BH417"/>
  <c r="BH423" s="1"/>
  <c r="BK408"/>
  <c r="BK381"/>
  <c r="C190" i="10" s="1"/>
  <c r="BJ383" i="37"/>
  <c r="BH383"/>
  <c r="BK370"/>
  <c r="BJ384"/>
  <c r="BH387"/>
  <c r="BH393" s="1"/>
  <c r="BK378"/>
  <c r="U9" i="10"/>
  <c r="F154"/>
  <c r="F152" s="1"/>
  <c r="E154"/>
  <c r="E152" s="1"/>
  <c r="BJ353" i="37"/>
  <c r="BH353"/>
  <c r="BH354"/>
  <c r="BK340"/>
  <c r="BJ354"/>
  <c r="BH359"/>
  <c r="BH363" s="1"/>
  <c r="BK348"/>
  <c r="BK321"/>
  <c r="M144" i="10" s="1"/>
  <c r="J110" s="1"/>
  <c r="M110" s="1"/>
  <c r="BJ323" i="37"/>
  <c r="BH324"/>
  <c r="BH323"/>
  <c r="BK310"/>
  <c r="BJ324"/>
  <c r="BH329"/>
  <c r="BH333" s="1"/>
  <c r="BK318"/>
  <c r="V37" i="10"/>
  <c r="AK242" i="37"/>
  <c r="AM232"/>
  <c r="AN219"/>
  <c r="AK232"/>
  <c r="AK233"/>
  <c r="AM233"/>
  <c r="B542"/>
  <c r="D532"/>
  <c r="E519"/>
  <c r="B532"/>
  <c r="B533"/>
  <c r="D533"/>
  <c r="D502"/>
  <c r="B512"/>
  <c r="E489"/>
  <c r="B502"/>
  <c r="B503"/>
  <c r="D503"/>
  <c r="B482"/>
  <c r="D472"/>
  <c r="E459"/>
  <c r="B472"/>
  <c r="B473"/>
  <c r="D473"/>
  <c r="B452"/>
  <c r="E437"/>
  <c r="D442"/>
  <c r="B442"/>
  <c r="B443"/>
  <c r="E429"/>
  <c r="D443"/>
  <c r="AM202"/>
  <c r="AK202"/>
  <c r="AK212"/>
  <c r="AN189"/>
  <c r="AN197"/>
  <c r="AK203"/>
  <c r="AM203"/>
  <c r="AK182"/>
  <c r="AM172"/>
  <c r="AK172"/>
  <c r="AN159"/>
  <c r="AN167"/>
  <c r="AK173"/>
  <c r="AM173"/>
  <c r="W287"/>
  <c r="T302"/>
  <c r="V292"/>
  <c r="T292"/>
  <c r="T293"/>
  <c r="W279"/>
  <c r="V293"/>
  <c r="W257"/>
  <c r="T272"/>
  <c r="V262"/>
  <c r="T262"/>
  <c r="T263"/>
  <c r="W249"/>
  <c r="V263"/>
  <c r="W227"/>
  <c r="V232"/>
  <c r="T232"/>
  <c r="T242"/>
  <c r="T233"/>
  <c r="W219"/>
  <c r="V233"/>
  <c r="W197"/>
  <c r="T212"/>
  <c r="V202"/>
  <c r="T202"/>
  <c r="T203"/>
  <c r="W189"/>
  <c r="V203"/>
  <c r="W167"/>
  <c r="T182"/>
  <c r="V172"/>
  <c r="T172"/>
  <c r="T173"/>
  <c r="W159"/>
  <c r="V173"/>
  <c r="AX69"/>
  <c r="E377"/>
  <c r="B392"/>
  <c r="D382"/>
  <c r="B382"/>
  <c r="B383"/>
  <c r="E369"/>
  <c r="D383"/>
  <c r="E347"/>
  <c r="B362"/>
  <c r="D352"/>
  <c r="B352"/>
  <c r="B353"/>
  <c r="E339"/>
  <c r="D353"/>
  <c r="E407"/>
  <c r="B412"/>
  <c r="B422"/>
  <c r="B413"/>
  <c r="E399"/>
  <c r="D413"/>
  <c r="E317"/>
  <c r="B332"/>
  <c r="D322"/>
  <c r="B322"/>
  <c r="B323"/>
  <c r="E309"/>
  <c r="D323"/>
  <c r="CD32"/>
  <c r="CD23"/>
  <c r="CD53"/>
  <c r="CG9"/>
  <c r="CF23"/>
  <c r="CG39"/>
  <c r="CF53"/>
  <c r="BH32"/>
  <c r="BH62"/>
  <c r="BH92"/>
  <c r="BH122"/>
  <c r="BH152"/>
  <c r="BH182"/>
  <c r="BH212"/>
  <c r="BH242"/>
  <c r="BH273"/>
  <c r="BH303"/>
  <c r="BH23"/>
  <c r="BH53"/>
  <c r="C105" i="10" s="1"/>
  <c r="BH83" i="37"/>
  <c r="C102" i="10" s="1"/>
  <c r="C99" s="1"/>
  <c r="J85" s="1"/>
  <c r="M85" s="1"/>
  <c r="BH113" i="37"/>
  <c r="BH143"/>
  <c r="BH173"/>
  <c r="K101" i="10" s="1"/>
  <c r="K99" s="1"/>
  <c r="J83" s="1"/>
  <c r="M83" s="1"/>
  <c r="BH203" i="37"/>
  <c r="BH233"/>
  <c r="BH264"/>
  <c r="BH294"/>
  <c r="BK9"/>
  <c r="BJ23"/>
  <c r="BK39"/>
  <c r="BJ53"/>
  <c r="D105" i="10" s="1"/>
  <c r="BK69" i="37"/>
  <c r="BJ83"/>
  <c r="D102" i="10" s="1"/>
  <c r="D99" s="1"/>
  <c r="K85" s="1"/>
  <c r="N85" s="1"/>
  <c r="BK99" i="37"/>
  <c r="BJ113"/>
  <c r="BK129"/>
  <c r="BJ143"/>
  <c r="BK159"/>
  <c r="BJ173"/>
  <c r="L101" i="10" s="1"/>
  <c r="L99" s="1"/>
  <c r="K83" s="1"/>
  <c r="N83" s="1"/>
  <c r="BK189" i="37"/>
  <c r="BJ203"/>
  <c r="BK219"/>
  <c r="BJ233"/>
  <c r="BK250"/>
  <c r="BJ264"/>
  <c r="BK280"/>
  <c r="BJ294"/>
  <c r="AK23"/>
  <c r="C91" i="10" s="1"/>
  <c r="C89" s="1"/>
  <c r="J82" s="1"/>
  <c r="M82" s="1"/>
  <c r="AK52" i="37"/>
  <c r="AK53"/>
  <c r="AK82"/>
  <c r="AK83"/>
  <c r="AK112"/>
  <c r="AK113"/>
  <c r="AK142"/>
  <c r="AK143"/>
  <c r="AN9"/>
  <c r="AM23"/>
  <c r="D91" i="10" s="1"/>
  <c r="D89" s="1"/>
  <c r="K82" s="1"/>
  <c r="N82" s="1"/>
  <c r="AN39" i="37"/>
  <c r="AM53"/>
  <c r="AN69"/>
  <c r="AM83"/>
  <c r="AN99"/>
  <c r="AM113"/>
  <c r="AN129"/>
  <c r="AM143"/>
  <c r="T62"/>
  <c r="T92"/>
  <c r="T122"/>
  <c r="T152"/>
  <c r="T23"/>
  <c r="T53"/>
  <c r="T83"/>
  <c r="T113"/>
  <c r="T143"/>
  <c r="W9"/>
  <c r="V23"/>
  <c r="W39"/>
  <c r="V53"/>
  <c r="W69"/>
  <c r="V83"/>
  <c r="W99"/>
  <c r="V113"/>
  <c r="W129"/>
  <c r="V143"/>
  <c r="B32"/>
  <c r="B62"/>
  <c r="B92"/>
  <c r="B122"/>
  <c r="B152"/>
  <c r="B182"/>
  <c r="B212"/>
  <c r="B272"/>
  <c r="B53"/>
  <c r="B83"/>
  <c r="B113"/>
  <c r="B143"/>
  <c r="B173"/>
  <c r="B203"/>
  <c r="B233"/>
  <c r="B263"/>
  <c r="B292"/>
  <c r="B293"/>
  <c r="E9"/>
  <c r="D23"/>
  <c r="E39"/>
  <c r="D53"/>
  <c r="E69"/>
  <c r="D83"/>
  <c r="E99"/>
  <c r="D113"/>
  <c r="E129"/>
  <c r="D143"/>
  <c r="E159"/>
  <c r="D173"/>
  <c r="E189"/>
  <c r="D203"/>
  <c r="E219"/>
  <c r="D233"/>
  <c r="E249"/>
  <c r="D263"/>
  <c r="E279"/>
  <c r="D293"/>
  <c r="Q12" i="3" a="1"/>
  <c r="Q17" a="1"/>
  <c r="Q17" s="1"/>
  <c r="C27"/>
  <c r="E27"/>
  <c r="E29"/>
  <c r="Q12"/>
  <c r="Q13"/>
  <c r="Q20"/>
  <c r="C28"/>
  <c r="D29"/>
  <c r="AB30"/>
  <c r="AB42" s="1"/>
  <c r="AD28"/>
  <c r="AD40" s="1"/>
  <c r="AG44"/>
  <c r="D28"/>
  <c r="D27"/>
  <c r="C32" s="1" a="1"/>
  <c r="C29"/>
  <c r="AB39"/>
  <c r="AD41"/>
  <c r="AF43"/>
  <c r="AH45"/>
  <c r="AC40"/>
  <c r="AE42"/>
  <c r="S75"/>
  <c r="S36"/>
  <c r="U77"/>
  <c r="R35"/>
  <c r="T37"/>
  <c r="R74"/>
  <c r="Q19"/>
  <c r="Q14"/>
  <c r="C60" i="1"/>
  <c r="M11"/>
  <c r="J13"/>
  <c r="J11"/>
  <c r="J14"/>
  <c r="J12"/>
  <c r="J10"/>
  <c r="E41"/>
  <c r="C43"/>
  <c r="D43"/>
  <c r="E40"/>
  <c r="B15"/>
  <c r="C14"/>
  <c r="B55" i="45" l="1"/>
  <c r="E55" s="1"/>
  <c r="E49"/>
  <c r="B54"/>
  <c r="E54" s="1"/>
  <c r="E48"/>
  <c r="D62"/>
  <c r="D57"/>
  <c r="D63" s="1"/>
  <c r="E56"/>
  <c r="E57" s="1"/>
  <c r="F21"/>
  <c r="H18"/>
  <c r="BN74" i="37"/>
  <c r="BN44"/>
  <c r="AQ164"/>
  <c r="J120" i="10"/>
  <c r="M120" s="1"/>
  <c r="C206"/>
  <c r="J119"/>
  <c r="M119" s="1"/>
  <c r="C188"/>
  <c r="M142"/>
  <c r="C33" i="38" a="1"/>
  <c r="AC49"/>
  <c r="AK42" a="1"/>
  <c r="Q18" i="3"/>
  <c r="C32"/>
  <c r="E32"/>
  <c r="D33"/>
  <c r="C34"/>
  <c r="E34"/>
  <c r="D32"/>
  <c r="C33"/>
  <c r="E33"/>
  <c r="D34"/>
  <c r="AK41" a="1"/>
  <c r="AC48"/>
  <c r="F14" i="1"/>
  <c r="C15"/>
  <c r="D14"/>
  <c r="D15" s="1"/>
  <c r="E51" i="45" l="1"/>
  <c r="H21"/>
  <c r="L18"/>
  <c r="AQ42" i="38"/>
  <c r="AO42"/>
  <c r="AM42"/>
  <c r="AK42"/>
  <c r="AK43" s="1"/>
  <c r="AP42"/>
  <c r="AN42"/>
  <c r="AN43" s="1"/>
  <c r="AL42"/>
  <c r="D35"/>
  <c r="E34"/>
  <c r="C34"/>
  <c r="D33"/>
  <c r="E35"/>
  <c r="C35"/>
  <c r="D34"/>
  <c r="E33"/>
  <c r="C33"/>
  <c r="H37" i="3" a="1"/>
  <c r="C37" a="1"/>
  <c r="AK41"/>
  <c r="AK42" s="1"/>
  <c r="AL41"/>
  <c r="AP41"/>
  <c r="AP42" s="1"/>
  <c r="AN41"/>
  <c r="AQ41"/>
  <c r="AQ42" s="1"/>
  <c r="AM41"/>
  <c r="AO41"/>
  <c r="AO42" s="1"/>
  <c r="B43" i="1"/>
  <c r="F43" s="1"/>
  <c r="E42"/>
  <c r="E43" s="1"/>
  <c r="F42"/>
  <c r="F15"/>
  <c r="E14"/>
  <c r="E15" s="1"/>
  <c r="AL43" i="38" l="1"/>
  <c r="AP43"/>
  <c r="AM43"/>
  <c r="H38" a="1"/>
  <c r="C38" a="1"/>
  <c r="AQ43"/>
  <c r="AO43"/>
  <c r="H37" i="3"/>
  <c r="I38"/>
  <c r="I37"/>
  <c r="I39"/>
  <c r="H38"/>
  <c r="H39"/>
  <c r="C37"/>
  <c r="D37"/>
  <c r="D38"/>
  <c r="D39"/>
  <c r="F37"/>
  <c r="F38"/>
  <c r="F39"/>
  <c r="C39"/>
  <c r="C38"/>
  <c r="E39"/>
  <c r="E38"/>
  <c r="E37"/>
  <c r="AM42"/>
  <c r="AN42"/>
  <c r="AL42"/>
  <c r="L13" i="1"/>
  <c r="C18"/>
  <c r="L11"/>
  <c r="L14"/>
  <c r="AK45" i="38" l="1" a="1"/>
  <c r="AP45" s="1"/>
  <c r="E40"/>
  <c r="C40"/>
  <c r="E39"/>
  <c r="C39"/>
  <c r="E38"/>
  <c r="C38"/>
  <c r="F40"/>
  <c r="D40"/>
  <c r="F39"/>
  <c r="D39"/>
  <c r="F38"/>
  <c r="D38"/>
  <c r="I40"/>
  <c r="I39"/>
  <c r="I38"/>
  <c r="H40"/>
  <c r="H39"/>
  <c r="H38"/>
  <c r="AK44" i="3" a="1"/>
  <c r="AQ44" s="1"/>
  <c r="H42" a="1"/>
  <c r="R89" a="1"/>
  <c r="R30" a="1"/>
  <c r="C42" a="1"/>
  <c r="D50" i="1"/>
  <c r="N11"/>
  <c r="N12"/>
  <c r="D53"/>
  <c r="I10"/>
  <c r="AM45" i="38" l="1"/>
  <c r="AQ45"/>
  <c r="AN45"/>
  <c r="AK45"/>
  <c r="AK46" s="1"/>
  <c r="AO45"/>
  <c r="AO46" s="1"/>
  <c r="AL45"/>
  <c r="AL46" s="1"/>
  <c r="H43" a="1"/>
  <c r="I45" s="1"/>
  <c r="I51" s="1"/>
  <c r="AQ46"/>
  <c r="AP46"/>
  <c r="R90" a="1"/>
  <c r="R31" a="1"/>
  <c r="C43" a="1"/>
  <c r="AN46"/>
  <c r="AK44" i="3"/>
  <c r="AK45" s="1"/>
  <c r="AM44"/>
  <c r="AL44"/>
  <c r="AO44"/>
  <c r="AN44"/>
  <c r="AP44"/>
  <c r="AN45"/>
  <c r="C42"/>
  <c r="C48" s="1"/>
  <c r="F42"/>
  <c r="F48" s="1"/>
  <c r="F43"/>
  <c r="F49" s="1"/>
  <c r="F44"/>
  <c r="F50" s="1"/>
  <c r="F45"/>
  <c r="F51" s="1"/>
  <c r="D42"/>
  <c r="D48" s="1"/>
  <c r="D43"/>
  <c r="D49" s="1"/>
  <c r="D44"/>
  <c r="D50" s="1"/>
  <c r="D45"/>
  <c r="D51" s="1"/>
  <c r="E45"/>
  <c r="E51" s="1"/>
  <c r="E44"/>
  <c r="E50" s="1"/>
  <c r="E43"/>
  <c r="E49" s="1"/>
  <c r="E42"/>
  <c r="E48" s="1"/>
  <c r="C45"/>
  <c r="C51" s="1"/>
  <c r="C44"/>
  <c r="C50" s="1"/>
  <c r="C43"/>
  <c r="C49" s="1"/>
  <c r="C54" s="1" a="1"/>
  <c r="R89"/>
  <c r="S90"/>
  <c r="S89"/>
  <c r="S91"/>
  <c r="R91"/>
  <c r="R90"/>
  <c r="R30"/>
  <c r="R40" s="1"/>
  <c r="S30"/>
  <c r="S40" s="1"/>
  <c r="T31"/>
  <c r="T41" s="1"/>
  <c r="R31"/>
  <c r="R41" s="1"/>
  <c r="S32"/>
  <c r="S42" s="1"/>
  <c r="R32"/>
  <c r="R42" s="1"/>
  <c r="T30"/>
  <c r="T40" s="1"/>
  <c r="T32"/>
  <c r="T42" s="1"/>
  <c r="S31"/>
  <c r="S41" s="1"/>
  <c r="H42"/>
  <c r="H48" s="1"/>
  <c r="I42"/>
  <c r="I48" s="1"/>
  <c r="I44"/>
  <c r="I50" s="1"/>
  <c r="I43"/>
  <c r="I49" s="1"/>
  <c r="I45"/>
  <c r="I51" s="1"/>
  <c r="H45"/>
  <c r="H51" s="1"/>
  <c r="H43"/>
  <c r="H49" s="1"/>
  <c r="H44"/>
  <c r="H50" s="1"/>
  <c r="AL45"/>
  <c r="F50" i="1"/>
  <c r="D60"/>
  <c r="I11"/>
  <c r="C21"/>
  <c r="C47" s="1"/>
  <c r="C20"/>
  <c r="C46" s="1"/>
  <c r="C22"/>
  <c r="C48" s="1"/>
  <c r="I14"/>
  <c r="G60" s="1"/>
  <c r="I12"/>
  <c r="E60" s="1"/>
  <c r="I13"/>
  <c r="F60" s="1"/>
  <c r="AM46" i="38" l="1"/>
  <c r="I46"/>
  <c r="I52" s="1"/>
  <c r="H46"/>
  <c r="H52" s="1"/>
  <c r="H44"/>
  <c r="H50" s="1"/>
  <c r="I44"/>
  <c r="I50" s="1"/>
  <c r="H43"/>
  <c r="H49" s="1"/>
  <c r="H45"/>
  <c r="H51" s="1"/>
  <c r="I43"/>
  <c r="I49" s="1"/>
  <c r="AK48" a="1"/>
  <c r="AP48" s="1"/>
  <c r="E46"/>
  <c r="E52" s="1"/>
  <c r="C46"/>
  <c r="C52" s="1"/>
  <c r="E45"/>
  <c r="E51" s="1"/>
  <c r="C45"/>
  <c r="C51" s="1"/>
  <c r="E44"/>
  <c r="E50" s="1"/>
  <c r="C44"/>
  <c r="C50" s="1"/>
  <c r="E43"/>
  <c r="E49" s="1"/>
  <c r="C43"/>
  <c r="C49" s="1"/>
  <c r="F46"/>
  <c r="F52" s="1"/>
  <c r="D46"/>
  <c r="D52" s="1"/>
  <c r="F45"/>
  <c r="F51" s="1"/>
  <c r="D45"/>
  <c r="D51" s="1"/>
  <c r="F44"/>
  <c r="F50" s="1"/>
  <c r="D44"/>
  <c r="D50" s="1"/>
  <c r="F43"/>
  <c r="F49" s="1"/>
  <c r="D43"/>
  <c r="D49" s="1"/>
  <c r="R92"/>
  <c r="R91"/>
  <c r="R90"/>
  <c r="S92"/>
  <c r="S91"/>
  <c r="S90"/>
  <c r="S33"/>
  <c r="S43" s="1"/>
  <c r="T32"/>
  <c r="T42" s="1"/>
  <c r="R32"/>
  <c r="R42" s="1"/>
  <c r="S31"/>
  <c r="S41" s="1"/>
  <c r="T33"/>
  <c r="T43" s="1"/>
  <c r="R33"/>
  <c r="R43" s="1"/>
  <c r="S32"/>
  <c r="S42" s="1"/>
  <c r="T31"/>
  <c r="T41" s="1"/>
  <c r="R31"/>
  <c r="R41" s="1"/>
  <c r="AM45" i="3"/>
  <c r="AQ45"/>
  <c r="AP45"/>
  <c r="AO45"/>
  <c r="D54"/>
  <c r="D56"/>
  <c r="F54"/>
  <c r="F56"/>
  <c r="C57"/>
  <c r="C56"/>
  <c r="C55"/>
  <c r="C54"/>
  <c r="D55"/>
  <c r="D57"/>
  <c r="F55"/>
  <c r="F57"/>
  <c r="E57"/>
  <c r="E56"/>
  <c r="E55"/>
  <c r="E54"/>
  <c r="R45" a="1"/>
  <c r="B50" i="1"/>
  <c r="H60"/>
  <c r="B21"/>
  <c r="B47" s="1"/>
  <c r="B52"/>
  <c r="B22"/>
  <c r="B48" s="1"/>
  <c r="B53"/>
  <c r="B20"/>
  <c r="B46" s="1"/>
  <c r="B51"/>
  <c r="C23"/>
  <c r="C49" s="1"/>
  <c r="F20"/>
  <c r="F46" s="1"/>
  <c r="F21"/>
  <c r="F47" s="1"/>
  <c r="D20" l="1"/>
  <c r="D46" s="1"/>
  <c r="F22"/>
  <c r="F48" s="1"/>
  <c r="B23"/>
  <c r="B49" s="1"/>
  <c r="AQ48" i="38"/>
  <c r="AM48"/>
  <c r="AN48"/>
  <c r="AK48"/>
  <c r="AK49" s="1"/>
  <c r="AO48"/>
  <c r="AL48"/>
  <c r="AL49" s="1"/>
  <c r="C55" a="1"/>
  <c r="AP49"/>
  <c r="R46" a="1"/>
  <c r="AM49"/>
  <c r="AK47" i="3" a="1"/>
  <c r="AQ47" s="1"/>
  <c r="H54" a="1"/>
  <c r="R45"/>
  <c r="T45"/>
  <c r="S45"/>
  <c r="R47"/>
  <c r="T46"/>
  <c r="S46"/>
  <c r="R46"/>
  <c r="T47"/>
  <c r="S47"/>
  <c r="F23" i="1"/>
  <c r="F49" s="1"/>
  <c r="AO49" i="38" l="1"/>
  <c r="AN49"/>
  <c r="AQ49"/>
  <c r="AK51" s="1" a="1"/>
  <c r="AQ51" s="1"/>
  <c r="F58"/>
  <c r="D58"/>
  <c r="F57"/>
  <c r="D57"/>
  <c r="F56"/>
  <c r="E58"/>
  <c r="C58"/>
  <c r="E57"/>
  <c r="C57"/>
  <c r="E56"/>
  <c r="C56"/>
  <c r="F55"/>
  <c r="D55"/>
  <c r="D56"/>
  <c r="E55"/>
  <c r="C55"/>
  <c r="S48"/>
  <c r="T47"/>
  <c r="R47"/>
  <c r="S46"/>
  <c r="T48"/>
  <c r="R48"/>
  <c r="S47"/>
  <c r="T46"/>
  <c r="R46"/>
  <c r="AP47" i="3"/>
  <c r="AO47"/>
  <c r="AM47"/>
  <c r="AN47"/>
  <c r="AL47"/>
  <c r="AK47"/>
  <c r="AK48" s="1"/>
  <c r="H54"/>
  <c r="I56"/>
  <c r="I57"/>
  <c r="H55"/>
  <c r="I54"/>
  <c r="I55"/>
  <c r="H57"/>
  <c r="H56"/>
  <c r="R50" a="1"/>
  <c r="D21" i="1"/>
  <c r="D22"/>
  <c r="R51" i="38" l="1" a="1"/>
  <c r="R54" s="1"/>
  <c r="AN51"/>
  <c r="AK51"/>
  <c r="AK52" s="1"/>
  <c r="AO51"/>
  <c r="AL51"/>
  <c r="AL52" s="1"/>
  <c r="AP51"/>
  <c r="AM51"/>
  <c r="AM52" s="1"/>
  <c r="H55" a="1"/>
  <c r="AQ48" i="3"/>
  <c r="AO48"/>
  <c r="AM48"/>
  <c r="AL48"/>
  <c r="AP48"/>
  <c r="AN48"/>
  <c r="K60" a="1"/>
  <c r="H60" a="1"/>
  <c r="R50"/>
  <c r="R51"/>
  <c r="S50"/>
  <c r="T50"/>
  <c r="T53"/>
  <c r="R53"/>
  <c r="S51"/>
  <c r="R52"/>
  <c r="S52"/>
  <c r="T51"/>
  <c r="T52"/>
  <c r="S53"/>
  <c r="E22" i="1"/>
  <c r="E48" s="1"/>
  <c r="D48"/>
  <c r="E21"/>
  <c r="E47" s="1"/>
  <c r="D47"/>
  <c r="D23"/>
  <c r="D49" s="1"/>
  <c r="E20"/>
  <c r="T51" i="38" l="1"/>
  <c r="R53"/>
  <c r="S54"/>
  <c r="R52"/>
  <c r="T54"/>
  <c r="R51"/>
  <c r="S52"/>
  <c r="T53"/>
  <c r="S51"/>
  <c r="T52"/>
  <c r="S53"/>
  <c r="AO52"/>
  <c r="AP52"/>
  <c r="AQ52"/>
  <c r="AN52"/>
  <c r="R95" a="1"/>
  <c r="R57" a="1"/>
  <c r="H58"/>
  <c r="H57"/>
  <c r="H56"/>
  <c r="H55"/>
  <c r="I58"/>
  <c r="I57"/>
  <c r="I56"/>
  <c r="I55"/>
  <c r="AK50" i="3" a="1"/>
  <c r="AM50" s="1"/>
  <c r="L61"/>
  <c r="L66" s="1"/>
  <c r="K62"/>
  <c r="K67" s="1"/>
  <c r="K60"/>
  <c r="K65" s="1"/>
  <c r="L60"/>
  <c r="L65" s="1"/>
  <c r="K61"/>
  <c r="K66" s="1"/>
  <c r="L62"/>
  <c r="L67" s="1"/>
  <c r="R94" a="1"/>
  <c r="R56" a="1"/>
  <c r="H62"/>
  <c r="O6" s="1"/>
  <c r="H60"/>
  <c r="O4" s="1"/>
  <c r="H61"/>
  <c r="O5" s="1"/>
  <c r="H63"/>
  <c r="O7" s="1"/>
  <c r="E23" i="1"/>
  <c r="E49" s="1"/>
  <c r="E46"/>
  <c r="AK54" i="38" l="1" a="1"/>
  <c r="AP54" s="1"/>
  <c r="T60"/>
  <c r="T66" s="1"/>
  <c r="R60"/>
  <c r="R66" s="1"/>
  <c r="T59"/>
  <c r="T65" s="1"/>
  <c r="R59"/>
  <c r="R65" s="1"/>
  <c r="T58"/>
  <c r="T64" s="1"/>
  <c r="R58"/>
  <c r="R64" s="1"/>
  <c r="T57"/>
  <c r="T63" s="1"/>
  <c r="R57"/>
  <c r="R63" s="1"/>
  <c r="U60"/>
  <c r="U66" s="1"/>
  <c r="S60"/>
  <c r="S66" s="1"/>
  <c r="U59"/>
  <c r="U65" s="1"/>
  <c r="S59"/>
  <c r="S65" s="1"/>
  <c r="U58"/>
  <c r="U64" s="1"/>
  <c r="S58"/>
  <c r="S64" s="1"/>
  <c r="U57"/>
  <c r="U63" s="1"/>
  <c r="S57"/>
  <c r="S63" s="1"/>
  <c r="H61" a="1"/>
  <c r="K61" a="1"/>
  <c r="R98"/>
  <c r="R104" s="1"/>
  <c r="R97"/>
  <c r="R103" s="1"/>
  <c r="R96"/>
  <c r="R102" s="1"/>
  <c r="R95"/>
  <c r="R101" s="1"/>
  <c r="S98"/>
  <c r="S104" s="1"/>
  <c r="S97"/>
  <c r="S103" s="1"/>
  <c r="S96"/>
  <c r="S102" s="1"/>
  <c r="S95"/>
  <c r="S101" s="1"/>
  <c r="AP50" i="3"/>
  <c r="AL50"/>
  <c r="AQ50"/>
  <c r="AO50"/>
  <c r="AK50"/>
  <c r="AK51" s="1"/>
  <c r="AN50"/>
  <c r="AN51" s="1"/>
  <c r="O17" a="1"/>
  <c r="O12" a="1"/>
  <c r="U56"/>
  <c r="U62" s="1"/>
  <c r="S56"/>
  <c r="S62" s="1"/>
  <c r="R59"/>
  <c r="R65" s="1"/>
  <c r="T58"/>
  <c r="T64" s="1"/>
  <c r="R56"/>
  <c r="R62" s="1"/>
  <c r="U59"/>
  <c r="U65" s="1"/>
  <c r="S59"/>
  <c r="S65" s="1"/>
  <c r="T59"/>
  <c r="T65" s="1"/>
  <c r="U58"/>
  <c r="U64" s="1"/>
  <c r="S58"/>
  <c r="S64" s="1"/>
  <c r="R57"/>
  <c r="R63" s="1"/>
  <c r="T56"/>
  <c r="T62" s="1"/>
  <c r="U57"/>
  <c r="U63" s="1"/>
  <c r="S57"/>
  <c r="S63" s="1"/>
  <c r="R58"/>
  <c r="R64" s="1"/>
  <c r="T57"/>
  <c r="T63" s="1"/>
  <c r="R94"/>
  <c r="R100" s="1"/>
  <c r="S94"/>
  <c r="S100" s="1"/>
  <c r="S96"/>
  <c r="S102" s="1"/>
  <c r="S95"/>
  <c r="S101" s="1"/>
  <c r="S97"/>
  <c r="S103" s="1"/>
  <c r="R96"/>
  <c r="R102" s="1"/>
  <c r="R97"/>
  <c r="R103" s="1"/>
  <c r="R95"/>
  <c r="R101" s="1"/>
  <c r="K70" a="1"/>
  <c r="AK54" i="38" l="1"/>
  <c r="AK55" s="1"/>
  <c r="AQ54"/>
  <c r="AL54"/>
  <c r="AM54"/>
  <c r="AN54"/>
  <c r="AO54"/>
  <c r="H63"/>
  <c r="O7" s="1"/>
  <c r="H61"/>
  <c r="O5" s="1"/>
  <c r="H64"/>
  <c r="O8" s="1"/>
  <c r="H62"/>
  <c r="O6" s="1"/>
  <c r="L63"/>
  <c r="L68" s="1"/>
  <c r="L62"/>
  <c r="L67" s="1"/>
  <c r="L61"/>
  <c r="L66" s="1"/>
  <c r="K63"/>
  <c r="K68" s="1"/>
  <c r="K62"/>
  <c r="K67" s="1"/>
  <c r="K61"/>
  <c r="K66" s="1"/>
  <c r="R69" a="1"/>
  <c r="AO51" i="3"/>
  <c r="AL51"/>
  <c r="AM51"/>
  <c r="AQ51"/>
  <c r="AP51"/>
  <c r="L71"/>
  <c r="L72"/>
  <c r="K72"/>
  <c r="K70"/>
  <c r="L70"/>
  <c r="K71"/>
  <c r="O18"/>
  <c r="O19"/>
  <c r="O17"/>
  <c r="O20"/>
  <c r="R68" a="1"/>
  <c r="O12"/>
  <c r="O14"/>
  <c r="O13"/>
  <c r="AO55" i="38" l="1"/>
  <c r="AM55"/>
  <c r="AQ55"/>
  <c r="AN55"/>
  <c r="AL55"/>
  <c r="AP55"/>
  <c r="K71" a="1"/>
  <c r="L72" s="1"/>
  <c r="O18" a="1"/>
  <c r="O13" a="1"/>
  <c r="U72"/>
  <c r="U84" s="1"/>
  <c r="S72"/>
  <c r="S84" s="1"/>
  <c r="U71"/>
  <c r="U83" s="1"/>
  <c r="S71"/>
  <c r="S83" s="1"/>
  <c r="U70"/>
  <c r="U82" s="1"/>
  <c r="S70"/>
  <c r="S82" s="1"/>
  <c r="U69"/>
  <c r="U81" s="1"/>
  <c r="S69"/>
  <c r="S81" s="1"/>
  <c r="T72"/>
  <c r="T84" s="1"/>
  <c r="R72"/>
  <c r="R84" s="1"/>
  <c r="T71"/>
  <c r="T83" s="1"/>
  <c r="R71"/>
  <c r="R83" s="1"/>
  <c r="T70"/>
  <c r="T82" s="1"/>
  <c r="R70"/>
  <c r="R82" s="1"/>
  <c r="T69"/>
  <c r="T81" s="1"/>
  <c r="R69"/>
  <c r="AK53" i="3" a="1"/>
  <c r="AM53" s="1"/>
  <c r="S68"/>
  <c r="S80" s="1"/>
  <c r="U68"/>
  <c r="U80" s="1"/>
  <c r="T71"/>
  <c r="T83" s="1"/>
  <c r="R71"/>
  <c r="R83" s="1"/>
  <c r="R68"/>
  <c r="S71"/>
  <c r="S83" s="1"/>
  <c r="U71"/>
  <c r="U83" s="1"/>
  <c r="T68"/>
  <c r="T80" s="1"/>
  <c r="S70"/>
  <c r="S82" s="1"/>
  <c r="U70"/>
  <c r="U82" s="1"/>
  <c r="T69"/>
  <c r="T81" s="1"/>
  <c r="R69"/>
  <c r="R81" s="1"/>
  <c r="S69"/>
  <c r="S81" s="1"/>
  <c r="U69"/>
  <c r="U81" s="1"/>
  <c r="T70"/>
  <c r="T82" s="1"/>
  <c r="R70"/>
  <c r="R82" s="1"/>
  <c r="H70" a="1"/>
  <c r="AK57" i="38" l="1" a="1"/>
  <c r="AP57" s="1"/>
  <c r="L73"/>
  <c r="K72"/>
  <c r="L71"/>
  <c r="K71"/>
  <c r="K73"/>
  <c r="O21"/>
  <c r="O19"/>
  <c r="O20"/>
  <c r="O18"/>
  <c r="R81"/>
  <c r="T86" s="1"/>
  <c r="W71" a="1"/>
  <c r="O14"/>
  <c r="O15"/>
  <c r="O13"/>
  <c r="AK53" i="3"/>
  <c r="AK54" s="1"/>
  <c r="AQ53"/>
  <c r="AP53"/>
  <c r="AN53"/>
  <c r="AO53"/>
  <c r="AO54" s="1"/>
  <c r="AL53"/>
  <c r="AN54"/>
  <c r="H70"/>
  <c r="N4" s="1"/>
  <c r="H72"/>
  <c r="N6" s="1"/>
  <c r="H71"/>
  <c r="N5" s="1"/>
  <c r="R80"/>
  <c r="T85" s="1"/>
  <c r="W70" a="1"/>
  <c r="AN57" i="38" l="1"/>
  <c r="AL57"/>
  <c r="AQ57"/>
  <c r="AM57"/>
  <c r="AK57"/>
  <c r="AK58" s="1"/>
  <c r="AO57"/>
  <c r="AN58"/>
  <c r="H71" a="1"/>
  <c r="Y71"/>
  <c r="W71"/>
  <c r="W72" s="1"/>
  <c r="Z71"/>
  <c r="X71"/>
  <c r="X72" s="1"/>
  <c r="AP54" i="3"/>
  <c r="AM54"/>
  <c r="AQ54"/>
  <c r="AL54"/>
  <c r="AK56" s="1" a="1"/>
  <c r="AQ56" s="1"/>
  <c r="W70"/>
  <c r="W71" s="1"/>
  <c r="X70"/>
  <c r="Z70"/>
  <c r="Z71" s="1"/>
  <c r="Y70"/>
  <c r="M17" a="1"/>
  <c r="M12" a="1"/>
  <c r="AP58" i="38" l="1"/>
  <c r="AO58"/>
  <c r="AL58"/>
  <c r="AQ58"/>
  <c r="AM58"/>
  <c r="AK60" s="1" a="1"/>
  <c r="H72"/>
  <c r="N6" s="1"/>
  <c r="H71"/>
  <c r="N5" s="1"/>
  <c r="H73"/>
  <c r="N7" s="1"/>
  <c r="Z72"/>
  <c r="Y72"/>
  <c r="AO56" i="3"/>
  <c r="AN56"/>
  <c r="AN57" s="1"/>
  <c r="AK56"/>
  <c r="AK57" s="1"/>
  <c r="AP56"/>
  <c r="AP57" s="1"/>
  <c r="AM56"/>
  <c r="AM57" s="1"/>
  <c r="AL56"/>
  <c r="AL57" s="1"/>
  <c r="Y71"/>
  <c r="X71"/>
  <c r="M20"/>
  <c r="S20" s="1"/>
  <c r="M19"/>
  <c r="S19" s="1"/>
  <c r="M17"/>
  <c r="S17" s="1"/>
  <c r="M18"/>
  <c r="S18" s="1"/>
  <c r="M13"/>
  <c r="S13" s="1"/>
  <c r="M12"/>
  <c r="S12" s="1"/>
  <c r="M14"/>
  <c r="S14" s="1"/>
  <c r="W74" i="38" l="1" a="1"/>
  <c r="Y74" s="1"/>
  <c r="AQ60"/>
  <c r="AO60"/>
  <c r="AM60"/>
  <c r="AK60"/>
  <c r="AK61" s="1"/>
  <c r="AP60"/>
  <c r="AN60"/>
  <c r="AN61" s="1"/>
  <c r="AL60"/>
  <c r="M18" a="1"/>
  <c r="M13" a="1"/>
  <c r="AQ57" i="3"/>
  <c r="AO57"/>
  <c r="W73" a="1"/>
  <c r="Z73" s="1"/>
  <c r="AM61" i="38" l="1"/>
  <c r="X74"/>
  <c r="Z74"/>
  <c r="W74"/>
  <c r="W75" s="1"/>
  <c r="AL61"/>
  <c r="AO61"/>
  <c r="AQ61"/>
  <c r="AP61"/>
  <c r="M18"/>
  <c r="S18" s="1"/>
  <c r="M19"/>
  <c r="S19" s="1"/>
  <c r="M20"/>
  <c r="S20" s="1"/>
  <c r="M21"/>
  <c r="S21" s="1"/>
  <c r="M14"/>
  <c r="S14" s="1"/>
  <c r="M13"/>
  <c r="S13" s="1"/>
  <c r="M15"/>
  <c r="S15" s="1"/>
  <c r="AK59" i="3" a="1"/>
  <c r="AQ59" s="1"/>
  <c r="X73"/>
  <c r="Y73"/>
  <c r="W73"/>
  <c r="W74" s="1"/>
  <c r="Z75" i="38" l="1"/>
  <c r="AK63" a="1"/>
  <c r="AN63" s="1"/>
  <c r="Y75"/>
  <c r="X75"/>
  <c r="AL59" i="3"/>
  <c r="AM59"/>
  <c r="AO59"/>
  <c r="AK59"/>
  <c r="AK60" s="1"/>
  <c r="AP59"/>
  <c r="AN59"/>
  <c r="AP60"/>
  <c r="AN60"/>
  <c r="AQ60"/>
  <c r="AL60"/>
  <c r="AM60"/>
  <c r="AO60"/>
  <c r="X74"/>
  <c r="Y74"/>
  <c r="Z74"/>
  <c r="W76" a="1"/>
  <c r="Y76" s="1"/>
  <c r="W77" i="38" l="1" a="1"/>
  <c r="Z77" s="1"/>
  <c r="AQ63"/>
  <c r="AK63"/>
  <c r="AK64" s="1"/>
  <c r="AL63"/>
  <c r="AL64" s="1"/>
  <c r="AM63"/>
  <c r="AO63"/>
  <c r="AP63"/>
  <c r="AN64"/>
  <c r="AM64"/>
  <c r="AO64"/>
  <c r="AP64"/>
  <c r="AQ64"/>
  <c r="AK62" i="3" a="1"/>
  <c r="Z76"/>
  <c r="X76"/>
  <c r="W76"/>
  <c r="W77" s="1"/>
  <c r="X77" i="38" l="1"/>
  <c r="Y77"/>
  <c r="W77"/>
  <c r="W78" s="1"/>
  <c r="X78"/>
  <c r="AK66" a="1"/>
  <c r="AQ62" i="3"/>
  <c r="AQ63" s="1"/>
  <c r="AK62"/>
  <c r="AK63" s="1"/>
  <c r="AO62"/>
  <c r="AO63" s="1"/>
  <c r="AM62"/>
  <c r="AM63" s="1"/>
  <c r="AN62"/>
  <c r="AN63" s="1"/>
  <c r="AL62"/>
  <c r="AL63" s="1"/>
  <c r="AP62"/>
  <c r="AP63" s="1"/>
  <c r="Y77"/>
  <c r="Z77"/>
  <c r="X77"/>
  <c r="Z78" i="38" l="1"/>
  <c r="Y78"/>
  <c r="W80" s="1" a="1"/>
  <c r="W80" s="1"/>
  <c r="W81" s="1"/>
  <c r="AQ66"/>
  <c r="AL66"/>
  <c r="AP66"/>
  <c r="AN66"/>
  <c r="AM66"/>
  <c r="AK66"/>
  <c r="AK67" s="1"/>
  <c r="AO66"/>
  <c r="AK65" i="3" a="1"/>
  <c r="W79" a="1"/>
  <c r="Y79" s="1"/>
  <c r="Y80" i="38" l="1"/>
  <c r="Y81" s="1"/>
  <c r="X80"/>
  <c r="X81" s="1"/>
  <c r="W83" s="1" a="1"/>
  <c r="W83" s="1"/>
  <c r="W84" s="1"/>
  <c r="Z80"/>
  <c r="Z81" s="1"/>
  <c r="AO67"/>
  <c r="AM67"/>
  <c r="AP67"/>
  <c r="AQ67"/>
  <c r="AN67"/>
  <c r="AL67"/>
  <c r="AQ65" i="3"/>
  <c r="AP65"/>
  <c r="AN65"/>
  <c r="AO65"/>
  <c r="AL65"/>
  <c r="AM65"/>
  <c r="AK65"/>
  <c r="AK66" s="1"/>
  <c r="Z79"/>
  <c r="X79"/>
  <c r="W79"/>
  <c r="W80" s="1"/>
  <c r="Z83" i="38" l="1"/>
  <c r="Y83"/>
  <c r="AK69" a="1"/>
  <c r="AK69" s="1"/>
  <c r="AK70" s="1"/>
  <c r="X83"/>
  <c r="X84" s="1"/>
  <c r="Z84"/>
  <c r="Y84"/>
  <c r="AL66" i="3"/>
  <c r="AN66"/>
  <c r="AQ66"/>
  <c r="AM66"/>
  <c r="AO66"/>
  <c r="AP66"/>
  <c r="Y80"/>
  <c r="X80"/>
  <c r="Z80"/>
  <c r="W86" i="38" l="1" a="1"/>
  <c r="Y86" s="1"/>
  <c r="AO69"/>
  <c r="AO70" s="1"/>
  <c r="AQ69"/>
  <c r="AQ70" s="1"/>
  <c r="AL69"/>
  <c r="AL70" s="1"/>
  <c r="AM69"/>
  <c r="AM70" s="1"/>
  <c r="AN69"/>
  <c r="AN70" s="1"/>
  <c r="AP69"/>
  <c r="AP70" s="1"/>
  <c r="AK68" i="3" a="1"/>
  <c r="AL68" s="1"/>
  <c r="W82" a="1"/>
  <c r="Y82" s="1"/>
  <c r="X86" i="38" l="1"/>
  <c r="W86"/>
  <c r="W87" s="1"/>
  <c r="Z86"/>
  <c r="AK72" a="1"/>
  <c r="AN72" s="1"/>
  <c r="AP68" i="3"/>
  <c r="AM68"/>
  <c r="AK68"/>
  <c r="AK69" s="1"/>
  <c r="AN68"/>
  <c r="AO68"/>
  <c r="AO69" s="1"/>
  <c r="AQ68"/>
  <c r="Z82"/>
  <c r="W82"/>
  <c r="W83" s="1"/>
  <c r="X82"/>
  <c r="Y87" i="38" l="1"/>
  <c r="Z87"/>
  <c r="X87"/>
  <c r="AO72"/>
  <c r="AQ72"/>
  <c r="AM72"/>
  <c r="AL72"/>
  <c r="AK72"/>
  <c r="AK73" s="1"/>
  <c r="AP72"/>
  <c r="AN73"/>
  <c r="AQ69" i="3"/>
  <c r="AN69"/>
  <c r="AM69"/>
  <c r="AL69"/>
  <c r="AK71" s="1" a="1"/>
  <c r="AL71" s="1"/>
  <c r="AP69"/>
  <c r="X83"/>
  <c r="Y83"/>
  <c r="Z83"/>
  <c r="W89" i="38" l="1" a="1"/>
  <c r="X89" s="1"/>
  <c r="AM73"/>
  <c r="AP73"/>
  <c r="AO73"/>
  <c r="AQ73"/>
  <c r="AL73"/>
  <c r="AQ71" i="3"/>
  <c r="AN71"/>
  <c r="AO71"/>
  <c r="AO72" s="1"/>
  <c r="AK71"/>
  <c r="AK72" s="1"/>
  <c r="AM71"/>
  <c r="AM72" s="1"/>
  <c r="AP71"/>
  <c r="AP72" s="1"/>
  <c r="AL72"/>
  <c r="AN72"/>
  <c r="AQ72"/>
  <c r="W85" a="1"/>
  <c r="Z85" s="1"/>
  <c r="Z89" i="38" l="1"/>
  <c r="W89"/>
  <c r="W90" s="1"/>
  <c r="Y89"/>
  <c r="AK75" a="1"/>
  <c r="AK75" s="1"/>
  <c r="AK76" s="1"/>
  <c r="AK74" i="3" a="1"/>
  <c r="AM74" s="1"/>
  <c r="W85"/>
  <c r="W86" s="1"/>
  <c r="Y85"/>
  <c r="X85"/>
  <c r="X86" s="1"/>
  <c r="Z90" i="38" l="1"/>
  <c r="Y90"/>
  <c r="X90"/>
  <c r="AL75"/>
  <c r="AL76" s="1"/>
  <c r="AM75"/>
  <c r="AM76" s="1"/>
  <c r="AN75"/>
  <c r="AN76" s="1"/>
  <c r="AO75"/>
  <c r="AO76" s="1"/>
  <c r="AH4" s="1"/>
  <c r="AH19" s="1"/>
  <c r="AP75"/>
  <c r="AP76" s="1"/>
  <c r="AI4" s="1"/>
  <c r="AI19" s="1"/>
  <c r="AQ75"/>
  <c r="AQ76" s="1"/>
  <c r="AL79"/>
  <c r="AM79"/>
  <c r="AG3"/>
  <c r="AG18" s="1"/>
  <c r="AK78"/>
  <c r="AH3"/>
  <c r="AH18" s="1"/>
  <c r="AL78"/>
  <c r="AO74" i="3"/>
  <c r="AO75" s="1"/>
  <c r="AL78" s="1"/>
  <c r="AK74"/>
  <c r="AK75" s="1"/>
  <c r="AP74"/>
  <c r="AN74"/>
  <c r="AL74"/>
  <c r="AQ74"/>
  <c r="AH3"/>
  <c r="AM75"/>
  <c r="Y86"/>
  <c r="Z86"/>
  <c r="W88" s="1" a="1"/>
  <c r="AP75"/>
  <c r="AN75"/>
  <c r="AL75"/>
  <c r="AQ75"/>
  <c r="AM77"/>
  <c r="AI2"/>
  <c r="AK78"/>
  <c r="AG3"/>
  <c r="W92" i="38" l="1" a="1"/>
  <c r="X92" s="1"/>
  <c r="AG4"/>
  <c r="AK79"/>
  <c r="AN79"/>
  <c r="AJ4"/>
  <c r="AJ19" s="1"/>
  <c r="AM78"/>
  <c r="AI3"/>
  <c r="AI18" s="1"/>
  <c r="AK80" a="1"/>
  <c r="AL80" s="1"/>
  <c r="AH5" s="1"/>
  <c r="AH20" s="1"/>
  <c r="AE10"/>
  <c r="AE9"/>
  <c r="AK77" i="3"/>
  <c r="AG2"/>
  <c r="X88"/>
  <c r="Y88"/>
  <c r="Z88"/>
  <c r="W88"/>
  <c r="W89" s="1"/>
  <c r="AH2"/>
  <c r="AL77"/>
  <c r="AK79" s="1" a="1"/>
  <c r="AK79" s="1"/>
  <c r="AG4" s="1"/>
  <c r="AM78"/>
  <c r="AI3"/>
  <c r="AN78"/>
  <c r="AJ3"/>
  <c r="AF11" i="38" l="1"/>
  <c r="AG19"/>
  <c r="AE11"/>
  <c r="Z92"/>
  <c r="Y92"/>
  <c r="Y93" s="1"/>
  <c r="W92"/>
  <c r="AF9"/>
  <c r="AG9" s="1"/>
  <c r="AF10"/>
  <c r="AK80"/>
  <c r="AG5" s="1"/>
  <c r="AG20" s="1"/>
  <c r="AE12"/>
  <c r="AE8" i="3"/>
  <c r="AE10"/>
  <c r="AE9"/>
  <c r="X89"/>
  <c r="Y89"/>
  <c r="W91" s="1" a="1"/>
  <c r="Z89"/>
  <c r="AF8"/>
  <c r="AG8" s="1"/>
  <c r="AL79"/>
  <c r="AH4" s="1"/>
  <c r="AF10"/>
  <c r="AF9"/>
  <c r="AG11" i="38" l="1"/>
  <c r="AH11" s="1"/>
  <c r="AG21"/>
  <c r="O45" s="1"/>
  <c r="W93"/>
  <c r="Z93"/>
  <c r="X93"/>
  <c r="AF12"/>
  <c r="AG10"/>
  <c r="AH10" s="1"/>
  <c r="AH9"/>
  <c r="AG10" i="3"/>
  <c r="AH10" s="1"/>
  <c r="AE11"/>
  <c r="AF11"/>
  <c r="AG9"/>
  <c r="AH9" s="1"/>
  <c r="AH8"/>
  <c r="Y91"/>
  <c r="Z91"/>
  <c r="X91"/>
  <c r="W91"/>
  <c r="W92" s="1"/>
  <c r="L49" i="38" l="1"/>
  <c r="N49"/>
  <c r="M50"/>
  <c r="M48"/>
  <c r="L48"/>
  <c r="M49"/>
  <c r="L50"/>
  <c r="N50"/>
  <c r="N48"/>
  <c r="W95" a="1"/>
  <c r="AG12"/>
  <c r="AH12" s="1"/>
  <c r="AG11" i="3"/>
  <c r="AH11" s="1"/>
  <c r="X92"/>
  <c r="Y92"/>
  <c r="Z92"/>
  <c r="O48" i="38" l="1"/>
  <c r="L51"/>
  <c r="M51"/>
  <c r="N51"/>
  <c r="O50"/>
  <c r="O49"/>
  <c r="X95"/>
  <c r="W95"/>
  <c r="W96" s="1"/>
  <c r="Z95"/>
  <c r="Y95"/>
  <c r="Y96" s="1"/>
  <c r="W94" i="3" a="1"/>
  <c r="X94" s="1"/>
  <c r="O51" i="38" l="1"/>
  <c r="Z96"/>
  <c r="X96"/>
  <c r="W98" s="1" a="1"/>
  <c r="Y94" i="3"/>
  <c r="Z94"/>
  <c r="W94"/>
  <c r="W95" s="1"/>
  <c r="Y98" i="38" l="1"/>
  <c r="Z98"/>
  <c r="Z99" s="1"/>
  <c r="W98"/>
  <c r="W99" s="1"/>
  <c r="X98"/>
  <c r="X99" s="1"/>
  <c r="Y99"/>
  <c r="X95" i="3"/>
  <c r="Y95"/>
  <c r="Z95"/>
  <c r="W101" i="38" l="1" a="1"/>
  <c r="X101" s="1"/>
  <c r="W97" i="3" a="1"/>
  <c r="W97" s="1"/>
  <c r="W98" s="1"/>
  <c r="Y101" i="38" l="1"/>
  <c r="W101"/>
  <c r="W102" s="1"/>
  <c r="Z101"/>
  <c r="X102"/>
  <c r="Y97" i="3"/>
  <c r="Y98" s="1"/>
  <c r="Z97"/>
  <c r="Z98" s="1"/>
  <c r="X97"/>
  <c r="X98" s="1"/>
  <c r="Z102" i="38" l="1"/>
  <c r="Y102"/>
  <c r="W104" s="1" a="1"/>
  <c r="Y104" s="1"/>
  <c r="W100" i="3" a="1"/>
  <c r="Z104" i="38" l="1"/>
  <c r="W104"/>
  <c r="W105" s="1"/>
  <c r="X104"/>
  <c r="Z100" i="3"/>
  <c r="W100"/>
  <c r="W101" s="1"/>
  <c r="Y100"/>
  <c r="X100"/>
  <c r="X101" s="1"/>
  <c r="X105" i="38" l="1"/>
  <c r="Y105"/>
  <c r="Z105"/>
  <c r="W107" s="1" a="1"/>
  <c r="Z107" s="1"/>
  <c r="Y101" i="3"/>
  <c r="Z101"/>
  <c r="W107" i="38" l="1"/>
  <c r="W108" s="1"/>
  <c r="Y107"/>
  <c r="X107"/>
  <c r="X108" s="1"/>
  <c r="W103" i="3" a="1"/>
  <c r="X103" s="1"/>
  <c r="Y108" i="38" l="1"/>
  <c r="Z108"/>
  <c r="W103" i="3"/>
  <c r="W104" s="1"/>
  <c r="Y103"/>
  <c r="Z103"/>
  <c r="Z104" s="1"/>
  <c r="W110" i="38" l="1" a="1"/>
  <c r="Y110" s="1"/>
  <c r="X104" i="3"/>
  <c r="Y104"/>
  <c r="X110" i="38" l="1"/>
  <c r="Z110"/>
  <c r="W110"/>
  <c r="W111" s="1"/>
  <c r="W106" i="3" a="1"/>
  <c r="Y106" s="1"/>
  <c r="X111" i="38" l="1"/>
  <c r="Y111"/>
  <c r="Z111"/>
  <c r="Z106" i="3"/>
  <c r="X106"/>
  <c r="W106"/>
  <c r="W107" s="1"/>
  <c r="W113" i="38" l="1" a="1"/>
  <c r="Z113" s="1"/>
  <c r="Y107" i="3"/>
  <c r="Z107"/>
  <c r="X107"/>
  <c r="W109" s="1" a="1"/>
  <c r="X109" s="1"/>
  <c r="W113" i="38" l="1"/>
  <c r="W114" s="1"/>
  <c r="Y113"/>
  <c r="X113"/>
  <c r="Z114"/>
  <c r="X114"/>
  <c r="Y109" i="3"/>
  <c r="Y110" s="1"/>
  <c r="W109"/>
  <c r="W110" s="1"/>
  <c r="Z109"/>
  <c r="Z110" s="1"/>
  <c r="X110"/>
  <c r="W112" s="1" a="1"/>
  <c r="X112" s="1"/>
  <c r="Y114" i="38" l="1"/>
  <c r="W116" a="1"/>
  <c r="Z116" s="1"/>
  <c r="Z112" i="3"/>
  <c r="W112"/>
  <c r="W113" s="1"/>
  <c r="Y112"/>
  <c r="X113"/>
  <c r="X116" i="38" l="1"/>
  <c r="Y116"/>
  <c r="W116"/>
  <c r="W117" s="1"/>
  <c r="Z117"/>
  <c r="X117"/>
  <c r="Y113" i="3"/>
  <c r="Z113"/>
  <c r="Y117" i="38" l="1"/>
  <c r="W119" s="1" a="1"/>
  <c r="W115" i="3" a="1"/>
  <c r="W115" s="1"/>
  <c r="W116" s="1"/>
  <c r="X119" i="38" l="1"/>
  <c r="X120" s="1"/>
  <c r="W119"/>
  <c r="W120" s="1"/>
  <c r="Z119"/>
  <c r="Z120" s="1"/>
  <c r="Y119"/>
  <c r="Y120"/>
  <c r="X115" i="3"/>
  <c r="X116" s="1"/>
  <c r="Z115"/>
  <c r="Z116" s="1"/>
  <c r="Y115"/>
  <c r="Y116" s="1"/>
  <c r="W118" s="1" a="1"/>
  <c r="X118" s="1"/>
  <c r="W122" i="38" l="1" a="1"/>
  <c r="W122" s="1"/>
  <c r="W123" s="1"/>
  <c r="Z118" i="3"/>
  <c r="W118"/>
  <c r="W119" s="1"/>
  <c r="Y118"/>
  <c r="X119"/>
  <c r="Z122" i="38" l="1"/>
  <c r="Z123" s="1"/>
  <c r="Y122"/>
  <c r="Y123" s="1"/>
  <c r="X122"/>
  <c r="X123" s="1"/>
  <c r="W125" a="1"/>
  <c r="Y119" i="3"/>
  <c r="Z119"/>
  <c r="W121" s="1" a="1"/>
  <c r="X121" s="1"/>
  <c r="X125" i="38" l="1"/>
  <c r="Z125"/>
  <c r="W125"/>
  <c r="W126" s="1"/>
  <c r="Y125"/>
  <c r="Z121" i="3"/>
  <c r="W121"/>
  <c r="X122" s="1"/>
  <c r="Y121"/>
  <c r="W122"/>
  <c r="X126" i="38" l="1"/>
  <c r="Y126"/>
  <c r="Z126"/>
  <c r="Y122" i="3"/>
  <c r="Z122"/>
  <c r="W128" i="38" l="1" a="1"/>
  <c r="W124" i="3" a="1"/>
  <c r="Y124" s="1"/>
  <c r="Y128" i="38" l="1"/>
  <c r="Z128"/>
  <c r="W128"/>
  <c r="W129" s="1"/>
  <c r="X128"/>
  <c r="Z124" i="3"/>
  <c r="Z125" s="1"/>
  <c r="W124"/>
  <c r="W125" s="1"/>
  <c r="X124"/>
  <c r="X125" s="1"/>
  <c r="Y125"/>
  <c r="X129" i="38" l="1"/>
  <c r="Z129"/>
  <c r="Y129"/>
  <c r="W127" i="3" a="1"/>
  <c r="Y127" s="1"/>
  <c r="W131" i="38" l="1" a="1"/>
  <c r="X131" s="1"/>
  <c r="X127" i="3"/>
  <c r="Z127"/>
  <c r="W127"/>
  <c r="W128" s="1"/>
  <c r="Z131" i="38" l="1"/>
  <c r="Z132" s="1"/>
  <c r="W131"/>
  <c r="W132" s="1"/>
  <c r="Y131"/>
  <c r="Y132" s="1"/>
  <c r="X132"/>
  <c r="X128" i="3"/>
  <c r="Z128"/>
  <c r="Y128"/>
  <c r="W130" s="1" a="1"/>
  <c r="W134" i="38" l="1" a="1"/>
  <c r="Y134" s="1"/>
  <c r="Y130" i="3"/>
  <c r="W130"/>
  <c r="W131" s="1"/>
  <c r="Z130"/>
  <c r="X130"/>
  <c r="X131" s="1"/>
  <c r="Z131"/>
  <c r="Y131"/>
  <c r="X134" i="38" l="1"/>
  <c r="Z134"/>
  <c r="W134"/>
  <c r="W135" s="1"/>
  <c r="U4" s="1"/>
  <c r="W133" i="3" a="1"/>
  <c r="Y133" s="1"/>
  <c r="X135" i="38" l="1"/>
  <c r="Y135"/>
  <c r="W4" s="1"/>
  <c r="Z135"/>
  <c r="X4" s="1"/>
  <c r="V4"/>
  <c r="Z133" i="3"/>
  <c r="W133"/>
  <c r="W134" s="1"/>
  <c r="X133"/>
  <c r="U3"/>
  <c r="X134"/>
  <c r="V3" s="1"/>
  <c r="Y134"/>
  <c r="W3" s="1"/>
  <c r="W146" i="38" l="1" a="1"/>
  <c r="W144" a="1"/>
  <c r="W146"/>
  <c r="U5" s="1"/>
  <c r="X146"/>
  <c r="V5" s="1"/>
  <c r="Z134" i="3"/>
  <c r="X3" s="1"/>
  <c r="X144" i="38" l="1"/>
  <c r="W144"/>
  <c r="Y144"/>
  <c r="W143" i="3" a="1"/>
  <c r="Y143" s="1"/>
  <c r="W145" a="1"/>
  <c r="W145" s="1"/>
  <c r="U4" s="1"/>
  <c r="W150" i="38" l="1" a="1"/>
  <c r="W150" s="1"/>
  <c r="AA3" s="1"/>
  <c r="W143" i="3"/>
  <c r="X143"/>
  <c r="X145"/>
  <c r="V4" s="1"/>
  <c r="W149" a="1"/>
  <c r="X150" i="38" l="1"/>
  <c r="AB3" s="1"/>
  <c r="Y150"/>
  <c r="AC3" s="1"/>
  <c r="W152" a="1"/>
  <c r="Y149" i="3"/>
  <c r="AC2" s="1"/>
  <c r="X149"/>
  <c r="AB2" s="1"/>
  <c r="W149"/>
  <c r="V9" i="38" l="1"/>
  <c r="V10"/>
  <c r="AN10" s="1"/>
  <c r="V11"/>
  <c r="AN11" s="1"/>
  <c r="W155" a="1"/>
  <c r="Z152"/>
  <c r="Z153" s="1"/>
  <c r="AD4" s="1"/>
  <c r="Y152"/>
  <c r="Y153" s="1"/>
  <c r="AC4" s="1"/>
  <c r="X152"/>
  <c r="X153" s="1"/>
  <c r="AB4" s="1"/>
  <c r="W152"/>
  <c r="W153" s="1"/>
  <c r="W154" i="3" a="1"/>
  <c r="AA2"/>
  <c r="W151" a="1"/>
  <c r="AN9" i="38" l="1"/>
  <c r="V12"/>
  <c r="X155"/>
  <c r="X156" s="1"/>
  <c r="AB5" s="1"/>
  <c r="W155"/>
  <c r="W156" s="1"/>
  <c r="AA5" s="1"/>
  <c r="V165" a="1"/>
  <c r="V161" a="1"/>
  <c r="V169" a="1"/>
  <c r="AA4"/>
  <c r="Y151" i="3"/>
  <c r="Y152" s="1"/>
  <c r="AC3" s="1"/>
  <c r="Z151"/>
  <c r="Z152" s="1"/>
  <c r="AD3" s="1"/>
  <c r="X151"/>
  <c r="X152" s="1"/>
  <c r="AB3" s="1"/>
  <c r="W151"/>
  <c r="W152" s="1"/>
  <c r="W154"/>
  <c r="W155" s="1"/>
  <c r="AA4" s="1"/>
  <c r="X154"/>
  <c r="X155" s="1"/>
  <c r="AB4" s="1"/>
  <c r="V9"/>
  <c r="AN9" s="1"/>
  <c r="V10"/>
  <c r="AN10" s="1"/>
  <c r="V8"/>
  <c r="V169" i="38" l="1"/>
  <c r="V170" s="1"/>
  <c r="W169"/>
  <c r="W170" s="1"/>
  <c r="V165"/>
  <c r="V166" s="1"/>
  <c r="W165"/>
  <c r="W166" s="1"/>
  <c r="X165"/>
  <c r="X166" s="1"/>
  <c r="Y165"/>
  <c r="Y166" s="1"/>
  <c r="W10"/>
  <c r="W11"/>
  <c r="W9"/>
  <c r="X161"/>
  <c r="X162" s="1"/>
  <c r="W3" s="1"/>
  <c r="W161"/>
  <c r="W162" s="1"/>
  <c r="V3" s="1"/>
  <c r="V161"/>
  <c r="V162" s="1"/>
  <c r="U3" s="1"/>
  <c r="AN8" i="3"/>
  <c r="V11"/>
  <c r="AA3"/>
  <c r="W8" s="1"/>
  <c r="V164" a="1"/>
  <c r="V168" a="1"/>
  <c r="V160" a="1"/>
  <c r="AN13" i="38" l="1"/>
  <c r="X9"/>
  <c r="W12"/>
  <c r="X10"/>
  <c r="Y10" s="1"/>
  <c r="AN16" s="1"/>
  <c r="AN14"/>
  <c r="AN15"/>
  <c r="X11"/>
  <c r="Y11" s="1"/>
  <c r="AN12" i="3"/>
  <c r="X8"/>
  <c r="Y8" s="1"/>
  <c r="AN11" s="1"/>
  <c r="X160"/>
  <c r="X161" s="1"/>
  <c r="W2" s="1"/>
  <c r="W160"/>
  <c r="W161" s="1"/>
  <c r="V2" s="1"/>
  <c r="V160"/>
  <c r="V161" s="1"/>
  <c r="U2" s="1"/>
  <c r="Y164"/>
  <c r="Y165" s="1"/>
  <c r="W164"/>
  <c r="W165" s="1"/>
  <c r="X164"/>
  <c r="X165" s="1"/>
  <c r="V164"/>
  <c r="V165" s="1"/>
  <c r="W168"/>
  <c r="W169" s="1"/>
  <c r="V168"/>
  <c r="V169" s="1"/>
  <c r="W10"/>
  <c r="W9"/>
  <c r="Y9" i="38" l="1"/>
  <c r="AN12" s="1"/>
  <c r="X12"/>
  <c r="AN13" i="3"/>
  <c r="X9"/>
  <c r="Y9" s="1"/>
  <c r="AN15" s="1"/>
  <c r="AN14"/>
  <c r="X10"/>
  <c r="Y10" s="1"/>
  <c r="W11"/>
  <c r="AJ12" i="38" l="1"/>
  <c r="Y12"/>
  <c r="X11" i="3"/>
  <c r="AJ11" l="1"/>
  <c r="Y11"/>
  <c r="F122" i="10"/>
  <c r="F136"/>
  <c r="F132" s="1"/>
</calcChain>
</file>

<file path=xl/sharedStrings.xml><?xml version="1.0" encoding="utf-8"?>
<sst xmlns="http://schemas.openxmlformats.org/spreadsheetml/2006/main" count="7579" uniqueCount="641">
  <si>
    <t>C</t>
  </si>
  <si>
    <t>V</t>
  </si>
  <si>
    <t>M</t>
  </si>
  <si>
    <t>I</t>
  </si>
  <si>
    <t>II</t>
  </si>
  <si>
    <t>III</t>
  </si>
  <si>
    <t>W</t>
  </si>
  <si>
    <t>C : V</t>
  </si>
  <si>
    <t>C'</t>
  </si>
  <si>
    <t>V'</t>
  </si>
  <si>
    <t>M'</t>
  </si>
  <si>
    <t>W'</t>
  </si>
  <si>
    <t>x1</t>
  </si>
  <si>
    <t>x2</t>
  </si>
  <si>
    <t>x3</t>
  </si>
  <si>
    <t>x</t>
  </si>
  <si>
    <t>R</t>
  </si>
  <si>
    <t>Total:</t>
  </si>
  <si>
    <t>m =</t>
  </si>
  <si>
    <t>R =</t>
  </si>
  <si>
    <t>Индекс изменения цен на покупаемые средства производства при "трансформировании" стоимостей в цены производства НЕ ОДИНАКОВ в  разных подразделениях,</t>
  </si>
  <si>
    <t>так как разные подразделения покупают разные наборы средств производства, - наборы, структура которых в общем случае НЕ СОВПАДАЕТ со структурой выпуска средств производства.</t>
  </si>
  <si>
    <t>y = y1 = y2 = y3 =</t>
  </si>
  <si>
    <t>x =</t>
  </si>
  <si>
    <t>x1 =</t>
  </si>
  <si>
    <t>x2 =</t>
  </si>
  <si>
    <t>x3 =</t>
  </si>
  <si>
    <t>Параметры, помеченные зелёным цветом, можно задавать произвольно.</t>
  </si>
  <si>
    <t>t =</t>
  </si>
  <si>
    <t>t1 =</t>
  </si>
  <si>
    <t>t2 =</t>
  </si>
  <si>
    <t>t3 =</t>
  </si>
  <si>
    <t>r =</t>
  </si>
  <si>
    <t>В данной модели предположено, что структура наборов покупаемых рабочими жизненных средств во всех подразделениях одинакова.</t>
  </si>
  <si>
    <t>тогда как индексы изменения цен на наборы предметов потребления рабочих предполагаются равными y1 = y2 = y3 = y</t>
  </si>
  <si>
    <t xml:space="preserve">Математически это значит, что индексы изменения цен на наборы средств производства x1; x2; x3 могут отличаться, </t>
  </si>
  <si>
    <t>Числовой пример статьи:</t>
  </si>
  <si>
    <t>Оборудование.</t>
  </si>
  <si>
    <t>Сырьё.</t>
  </si>
  <si>
    <t>Энергоносители</t>
  </si>
  <si>
    <t>Стоимость</t>
  </si>
  <si>
    <t>Индекс изменения цен</t>
  </si>
  <si>
    <t>i1</t>
  </si>
  <si>
    <t>i2</t>
  </si>
  <si>
    <t>i3</t>
  </si>
  <si>
    <t>Распределение по подразделениям в стоимостях</t>
  </si>
  <si>
    <t>Распределение по подразделениям в ценах производства.</t>
  </si>
  <si>
    <t>Цена производства наборов средств производства, покупаемых в подразделениях.</t>
  </si>
  <si>
    <t>Индекс изменения цен на средства производства, покупаемых в поджразделениях:</t>
  </si>
  <si>
    <t>Всего:</t>
  </si>
  <si>
    <t>y =</t>
  </si>
  <si>
    <t>AI;I</t>
  </si>
  <si>
    <t>AI;II</t>
  </si>
  <si>
    <t>XI;I</t>
  </si>
  <si>
    <t>XI;II</t>
  </si>
  <si>
    <t>XI;III</t>
  </si>
  <si>
    <t>AI;III</t>
  </si>
  <si>
    <t>AII;I</t>
  </si>
  <si>
    <t>XII;I</t>
  </si>
  <si>
    <t>AII;II</t>
  </si>
  <si>
    <t>XII;II</t>
  </si>
  <si>
    <t>XII;III</t>
  </si>
  <si>
    <t>AII;III</t>
  </si>
  <si>
    <t>B =</t>
  </si>
  <si>
    <t>pII</t>
  </si>
  <si>
    <t>lambda</t>
  </si>
  <si>
    <t>pI</t>
  </si>
  <si>
    <t>y</t>
  </si>
  <si>
    <t>vII</t>
  </si>
  <si>
    <t>vI</t>
  </si>
  <si>
    <t>m</t>
  </si>
  <si>
    <t>Const</t>
  </si>
  <si>
    <t>t1</t>
  </si>
  <si>
    <t>s</t>
  </si>
  <si>
    <t>Рассчёт через параметр s</t>
  </si>
  <si>
    <t>H = (1+r) : V</t>
  </si>
  <si>
    <t>f = C1*t1 + V1</t>
  </si>
  <si>
    <t>s = 1 + H*f</t>
  </si>
  <si>
    <t>КРИВАЯ ТРАНСФОРМИРОВАНИЯ.</t>
  </si>
  <si>
    <t>x1(y)</t>
  </si>
  <si>
    <t>x2(y)</t>
  </si>
  <si>
    <t>x3(y)</t>
  </si>
  <si>
    <t>x(y)</t>
  </si>
  <si>
    <t>x1(t1)</t>
  </si>
  <si>
    <t>x2(t1)</t>
  </si>
  <si>
    <t>x3(t1)</t>
  </si>
  <si>
    <t>x(t1)</t>
  </si>
  <si>
    <t>y(t1)</t>
  </si>
  <si>
    <t>Обобщённая матрица Леонтьева.</t>
  </si>
  <si>
    <t>Средства производства</t>
  </si>
  <si>
    <t xml:space="preserve">Средства производства </t>
  </si>
  <si>
    <t>Номер отрасли</t>
  </si>
  <si>
    <t>Предметы потребления</t>
  </si>
  <si>
    <t>Роскошь</t>
  </si>
  <si>
    <t>Подразделения</t>
  </si>
  <si>
    <t>I - AI;I</t>
  </si>
  <si>
    <t>(I - AI;I)^(-1)</t>
  </si>
  <si>
    <t>(I - AI;I)^(-1)  * AI;II</t>
  </si>
  <si>
    <t>AII;I * (I - AI;I)^(-1)  * AI;II</t>
  </si>
  <si>
    <t>I - AII;II - AII;I * (I - AI;I)^(-1)  * AI;II</t>
  </si>
  <si>
    <t>(I - AII;II - AII;I * (I - AI;I)^(-1)  * AI;II)^(-1)</t>
  </si>
  <si>
    <t>(I - AI;I)^(-1)  * AI;III</t>
  </si>
  <si>
    <t>AII;I * (I - AI;I)^(-1)  * AI;III</t>
  </si>
  <si>
    <t>AII;I * (I - AI;I)^(-1)  * AI;III + AII;III</t>
  </si>
  <si>
    <t>[(I - AII;II - AII;I * (I - AI;I)^(-1)  * AI;II)^(-1)] * [AII;I * (I - AI;I)^(-1)  * AI;III + AII;III]</t>
  </si>
  <si>
    <t>X2 = B*X3</t>
  </si>
  <si>
    <t>AI:II * B</t>
  </si>
  <si>
    <t>AI:II * B + AI;III</t>
  </si>
  <si>
    <t>(I - AI;I)^(-1) * [AI:II * B + AI;III]</t>
  </si>
  <si>
    <t>B1 =</t>
  </si>
  <si>
    <t>X1 = B1*X3</t>
  </si>
  <si>
    <t>X3</t>
  </si>
  <si>
    <t>X2</t>
  </si>
  <si>
    <t>X1</t>
  </si>
  <si>
    <t>ПРОВЕРКА УСЛОВИЙ БАЛАНСА В ФИЗИЧЕСКИХ ЕДИНИЦАХ.</t>
  </si>
  <si>
    <t>ОПРЕДЕЛЕНИЕ ВЕКТОРА ВЫПУСКА.</t>
  </si>
  <si>
    <t>ОПРЕДЕЛЕНИЕ ВЕКТОРА ЖИВОГО ТРУДА.</t>
  </si>
  <si>
    <t>Значение нормы прибыли:</t>
  </si>
  <si>
    <t>(1 : (1 + m)) * I</t>
  </si>
  <si>
    <t>(I - AI;I)^(-1)  * AI;II * AII;I</t>
  </si>
  <si>
    <t>(1 : (1 + m)) * I - (I - AI;I)^(-1)  * AI;II * AII;I</t>
  </si>
  <si>
    <t>[(1 : (1 + m)) * I - (I - AI;I)^(-1)  * AI;II * AII;I]^(-1)</t>
  </si>
  <si>
    <t>AII;I * [(1 : (1 + m)) * I - (I - AI;I)^(-1)  * AI;II * AII;I]^(-1)</t>
  </si>
  <si>
    <t>SI =</t>
  </si>
  <si>
    <t>SI * (I - AI;I)^(-1)  * AI;II</t>
  </si>
  <si>
    <t>SI * (I - AI;I)^(-1)  * AI;II + I</t>
  </si>
  <si>
    <t>[SI * (I - AI;I)^(-1)  * AI;II + I] * AII;II</t>
  </si>
  <si>
    <t>SII =</t>
  </si>
  <si>
    <t>SII - (1 : (1 + m)) * I</t>
  </si>
  <si>
    <t>Определитель</t>
  </si>
  <si>
    <t>Определение вектора l2.</t>
  </si>
  <si>
    <t>l2</t>
  </si>
  <si>
    <t>l1</t>
  </si>
  <si>
    <t>(I - AI;I)^(-1)  * AI;II * AII;III</t>
  </si>
  <si>
    <t>SI * [(I - AI;I)^(-1)  * AI;II * AII;III]</t>
  </si>
  <si>
    <t>SI * [(I - AI;I)^(-1)  * AI;II * AII;III] + AII;III</t>
  </si>
  <si>
    <t>SIII =</t>
  </si>
  <si>
    <t>l3</t>
  </si>
  <si>
    <t>ВЕКТОРА СТОИМОСТЕЙ.</t>
  </si>
  <si>
    <t>v1</t>
  </si>
  <si>
    <t>v2</t>
  </si>
  <si>
    <t>v1 * AI;II</t>
  </si>
  <si>
    <t>v1 * AI;III</t>
  </si>
  <si>
    <t>v3</t>
  </si>
  <si>
    <t>ПРОВЕРКА</t>
  </si>
  <si>
    <t>v2 * AII;I</t>
  </si>
  <si>
    <t>v2 * AII;II</t>
  </si>
  <si>
    <t>v2 * AII;III</t>
  </si>
  <si>
    <t>МАТРИЦА ОБЩЕСТВЕННОГО ВОСПРОИЗВОДСТВА В СТОИМОСТЯХ.</t>
  </si>
  <si>
    <t>vIII</t>
  </si>
  <si>
    <t>ОПРЕДЕЛЕНИЕ ВЕКТОРА ЦЕН ПРОИЗВОДСТВА.</t>
  </si>
  <si>
    <t>Матрица Q:</t>
  </si>
  <si>
    <t>средства производства</t>
  </si>
  <si>
    <t>Матрица Q - lambda * I</t>
  </si>
  <si>
    <t>Определитель =</t>
  </si>
  <si>
    <t>Определение вектора цен производства:</t>
  </si>
  <si>
    <t>p</t>
  </si>
  <si>
    <t>pIII</t>
  </si>
  <si>
    <t>МАТРИЦА ОБЩЕСТВЕННОГО ВОСПРОИЗВОДСТВА В ЦЕНАХ ПРОИЗВОДСТВА.</t>
  </si>
  <si>
    <t>M' - M</t>
  </si>
  <si>
    <t>Выбирая константу,можно удовлетворить ОДНОМУ условию трансформирования, но не двум вместе!!!</t>
  </si>
  <si>
    <t>ПРОБЛЕМА ТРАНСФОРМИРОВАНИЯ В ОБЩЕМ СЛУЧАЕ НЕ ИМЕЕТ РЕШЕНИЯ!</t>
  </si>
  <si>
    <t>РЕАЛЬНЫЕ ИНДЕКСЫ ИЗМЕНЕНИЯ ЦЕН:</t>
  </si>
  <si>
    <t>y1</t>
  </si>
  <si>
    <t>y2</t>
  </si>
  <si>
    <t>y3</t>
  </si>
  <si>
    <t>МАТРИЦА ИЗ СЛУЧАЙНЫХ ЧИСЕЛ.</t>
  </si>
  <si>
    <t>Матрица общественного воспроизводства в стоимостях</t>
  </si>
  <si>
    <t>Число отраслей:</t>
  </si>
  <si>
    <t>РЕЗУЛЬТАТЫ РАСЧЁТА ЦЕН ПРОИЗВОДСТВА ПРИ РАВЕНСТВЕ СУММАРНОЙ ПРИБЫЛИ И СУММАРНОЙ ПРИБАВОЧНОЙ СТОИМОСТИ В ПРОГРАММА "MATHEMATICA 8.0".</t>
  </si>
  <si>
    <t>Дисперсия</t>
  </si>
  <si>
    <t>ABS[(W'-W):W]</t>
  </si>
  <si>
    <t>k</t>
  </si>
  <si>
    <t>Matrix21</t>
  </si>
  <si>
    <t xml:space="preserve">Matrix2 </t>
  </si>
  <si>
    <t>Matrix6</t>
  </si>
  <si>
    <t>Matrix61</t>
  </si>
  <si>
    <t>Matrix22</t>
  </si>
  <si>
    <t>Matrix23</t>
  </si>
  <si>
    <t>Matrix24</t>
  </si>
  <si>
    <t>N</t>
  </si>
  <si>
    <t>N = 22</t>
  </si>
  <si>
    <t>N = 115</t>
  </si>
  <si>
    <t xml:space="preserve">Matrix25 </t>
  </si>
  <si>
    <t>Matrix26</t>
  </si>
  <si>
    <t>Matrix27</t>
  </si>
  <si>
    <t>Matrix28</t>
  </si>
  <si>
    <t>Matrix29</t>
  </si>
  <si>
    <t>Matrix5</t>
  </si>
  <si>
    <t>Matrix51</t>
  </si>
  <si>
    <t>Matrix52</t>
  </si>
  <si>
    <t>Matrix53</t>
  </si>
  <si>
    <t>Matrix54</t>
  </si>
  <si>
    <t>Matrix55</t>
  </si>
  <si>
    <t>Matrix56</t>
  </si>
  <si>
    <t>Matrix57</t>
  </si>
  <si>
    <t>Matrix58</t>
  </si>
  <si>
    <t>Matrix59</t>
  </si>
  <si>
    <t>Matrix3</t>
  </si>
  <si>
    <t>Matrix31</t>
  </si>
  <si>
    <t>Matrix32</t>
  </si>
  <si>
    <t>Matrix33</t>
  </si>
  <si>
    <t>Matrix34</t>
  </si>
  <si>
    <t>Matrix4</t>
  </si>
  <si>
    <t>Matrix41</t>
  </si>
  <si>
    <t>Matrix42</t>
  </si>
  <si>
    <t>Matrix43</t>
  </si>
  <si>
    <t>Matrix44</t>
  </si>
  <si>
    <t>Название программы</t>
  </si>
  <si>
    <t>РАСЧЁТЫ ВЫПОЛНЕНЫ В ПРОГРАММЕ "Mathematica 8.1"</t>
  </si>
  <si>
    <t>Статистика для многоотраслевой модели.</t>
  </si>
  <si>
    <t>Matrix7</t>
  </si>
  <si>
    <t>A11</t>
  </si>
  <si>
    <t>A12</t>
  </si>
  <si>
    <t>A13</t>
  </si>
  <si>
    <t>A21</t>
  </si>
  <si>
    <t>A22</t>
  </si>
  <si>
    <t>A23</t>
  </si>
  <si>
    <t>Константы нормировки для случайного равномерного распределения значений матриц.</t>
  </si>
  <si>
    <t>Matrix71</t>
  </si>
  <si>
    <t>Matrix73</t>
  </si>
  <si>
    <t>Matrix72</t>
  </si>
  <si>
    <t>Matrix74</t>
  </si>
  <si>
    <t>Matrix75</t>
  </si>
  <si>
    <t>Matrix76</t>
  </si>
  <si>
    <t>Matrix77</t>
  </si>
  <si>
    <t>Matrix213</t>
  </si>
  <si>
    <t>Matrix214</t>
  </si>
  <si>
    <t>Matrix215</t>
  </si>
  <si>
    <t>Matrix216</t>
  </si>
  <si>
    <t>Matrix45</t>
  </si>
  <si>
    <t>Структура-1</t>
  </si>
  <si>
    <t>Структура-2</t>
  </si>
  <si>
    <t>Структура-3</t>
  </si>
  <si>
    <t>Matrix2</t>
  </si>
  <si>
    <t>Matrix25</t>
  </si>
  <si>
    <t>Matrix210</t>
  </si>
  <si>
    <t>Matrix211</t>
  </si>
  <si>
    <t>Matrix212</t>
  </si>
  <si>
    <t>НАЗВАНИЕ ПРОГРАММЫ:</t>
  </si>
  <si>
    <t>CR1</t>
  </si>
  <si>
    <t>CR2</t>
  </si>
  <si>
    <t>CR3</t>
  </si>
  <si>
    <t>CR4</t>
  </si>
  <si>
    <t>CR5</t>
  </si>
  <si>
    <t>CR6</t>
  </si>
  <si>
    <t>СТРУКТУРА-1</t>
  </si>
  <si>
    <t>СТРУКТУРА-2</t>
  </si>
  <si>
    <t>СТРУКТУРА-3</t>
  </si>
  <si>
    <t>НЕТ СТРУКТУРЫ</t>
  </si>
  <si>
    <t>СТРУКТУРА-2.1</t>
  </si>
  <si>
    <t>Рост нормы прибыли сопровождается увеличением отклонения ABS[(W'-W):W]</t>
  </si>
  <si>
    <t>Увеличение размерности матриц сопровождается уменьшением отклонения ABS[(W'-W):W]</t>
  </si>
  <si>
    <t>Элементами матриц A11; A12; A13; A21; A22; A23 выбраны случайные числа от 0 до CR1;CR2;CR3;CR4;CR5;CR6 соответственно. Элементы вектора X3 - случайные число от 0 до 1000.</t>
  </si>
  <si>
    <t>Матрица общественного воспроизводства в ценах производства.</t>
  </si>
  <si>
    <t>Дисперсия органических строений в стоимостях.</t>
  </si>
  <si>
    <t>Дисперсия органических строений в ценах производства.</t>
  </si>
  <si>
    <t>ВСЕГО:</t>
  </si>
  <si>
    <t>Среднее значение</t>
  </si>
  <si>
    <t>Дисперсия коэффициента x.</t>
  </si>
  <si>
    <t>Дисперсия коэффициента y.</t>
  </si>
  <si>
    <t>Десятичный логарифм от дисперсии органических строений в стоимостях.</t>
  </si>
  <si>
    <t>Десятичный логарифм от дисперсии органических строений в ценах производства.</t>
  </si>
  <si>
    <t>Десятичный логарифм от дисперсии коэффициента x.</t>
  </si>
  <si>
    <t>Десятичный логарифм от дисперсии коэффициента y.</t>
  </si>
  <si>
    <r>
      <t xml:space="preserve">Дисперсия x (R </t>
    </r>
    <r>
      <rPr>
        <sz val="11"/>
        <color theme="1"/>
        <rFont val="Calibri"/>
        <family val="2"/>
        <charset val="204"/>
      </rPr>
      <t>≈ 0.11)</t>
    </r>
  </si>
  <si>
    <r>
      <t xml:space="preserve">Дисперсия x (R </t>
    </r>
    <r>
      <rPr>
        <sz val="11"/>
        <color theme="1"/>
        <rFont val="Calibri"/>
        <family val="2"/>
        <charset val="204"/>
      </rPr>
      <t>≈ 0.48)</t>
    </r>
  </si>
  <si>
    <r>
      <t xml:space="preserve">Дисперсия y (R </t>
    </r>
    <r>
      <rPr>
        <sz val="11"/>
        <color theme="1"/>
        <rFont val="Calibri"/>
        <family val="2"/>
        <charset val="204"/>
      </rPr>
      <t>≈ 0.11)</t>
    </r>
  </si>
  <si>
    <r>
      <t xml:space="preserve">Дисперсия y (R </t>
    </r>
    <r>
      <rPr>
        <sz val="11"/>
        <color theme="1"/>
        <rFont val="Calibri"/>
        <family val="2"/>
        <charset val="204"/>
      </rPr>
      <t>≈ 0.48)</t>
    </r>
  </si>
  <si>
    <r>
      <t xml:space="preserve">Дисперсия органических строений (R </t>
    </r>
    <r>
      <rPr>
        <sz val="11"/>
        <color theme="1"/>
        <rFont val="Calibri"/>
        <family val="2"/>
        <charset val="204"/>
      </rPr>
      <t>≈ 0.11)</t>
    </r>
  </si>
  <si>
    <r>
      <t xml:space="preserve">Дисперсия органических строений (R </t>
    </r>
    <r>
      <rPr>
        <sz val="11"/>
        <color theme="1"/>
        <rFont val="Calibri"/>
        <family val="2"/>
        <charset val="204"/>
      </rPr>
      <t>≈ 0.48)</t>
    </r>
  </si>
  <si>
    <t>Matrix510</t>
  </si>
  <si>
    <t>Matrix511</t>
  </si>
  <si>
    <r>
      <t xml:space="preserve">Дисперсия x (R </t>
    </r>
    <r>
      <rPr>
        <sz val="11"/>
        <color theme="1"/>
        <rFont val="Calibri"/>
        <family val="2"/>
        <charset val="204"/>
      </rPr>
      <t>≈ 0.12)</t>
    </r>
  </si>
  <si>
    <r>
      <t xml:space="preserve">Дисперсия y (R </t>
    </r>
    <r>
      <rPr>
        <sz val="11"/>
        <color theme="1"/>
        <rFont val="Calibri"/>
        <family val="2"/>
        <charset val="204"/>
      </rPr>
      <t>≈ 0.12)</t>
    </r>
  </si>
  <si>
    <r>
      <t xml:space="preserve">Дисперсия органических строений (R </t>
    </r>
    <r>
      <rPr>
        <sz val="11"/>
        <color theme="1"/>
        <rFont val="Calibri"/>
        <family val="2"/>
        <charset val="204"/>
      </rPr>
      <t>≈ 0.12)</t>
    </r>
  </si>
  <si>
    <t>Matrix512</t>
  </si>
  <si>
    <t>Matrix513</t>
  </si>
  <si>
    <r>
      <t xml:space="preserve">Дисперсия x (R </t>
    </r>
    <r>
      <rPr>
        <sz val="11"/>
        <color theme="1"/>
        <rFont val="Calibri"/>
        <family val="2"/>
        <charset val="204"/>
      </rPr>
      <t>≈ 0.24)</t>
    </r>
  </si>
  <si>
    <r>
      <t xml:space="preserve">Дисперсия y (R </t>
    </r>
    <r>
      <rPr>
        <sz val="11"/>
        <color theme="1"/>
        <rFont val="Calibri"/>
        <family val="2"/>
        <charset val="204"/>
      </rPr>
      <t>≈ 0.24)</t>
    </r>
  </si>
  <si>
    <r>
      <t xml:space="preserve">Дисперсия органических строений в стоимостях (R </t>
    </r>
    <r>
      <rPr>
        <sz val="11"/>
        <color theme="1"/>
        <rFont val="Calibri"/>
        <family val="2"/>
        <charset val="204"/>
      </rPr>
      <t>≈ 0.24)</t>
    </r>
  </si>
  <si>
    <r>
      <t xml:space="preserve">Дисперсия органических строений в ценах производства (R </t>
    </r>
    <r>
      <rPr>
        <sz val="11"/>
        <color theme="1"/>
        <rFont val="Calibri"/>
        <family val="2"/>
        <charset val="204"/>
      </rPr>
      <t>≈ 0.24)</t>
    </r>
  </si>
  <si>
    <t>Matrix21n</t>
  </si>
  <si>
    <t>A21 - транспонированная к A12</t>
  </si>
  <si>
    <t>Серия-1</t>
  </si>
  <si>
    <t xml:space="preserve">R = </t>
  </si>
  <si>
    <t>Серия-3</t>
  </si>
  <si>
    <t>Серия-4</t>
  </si>
  <si>
    <t>Mathematica 8.1 ('TransformationMATRIXproverka')</t>
  </si>
  <si>
    <t>Ratio:</t>
  </si>
  <si>
    <t>МАТРИЦА ОБЩЕСТВЕННОГО ВОСПРОИЗВОДСТВА В ЦЕНАХ.</t>
  </si>
  <si>
    <t>С учётом нормировки:</t>
  </si>
  <si>
    <t>Const1 =</t>
  </si>
  <si>
    <t>Const2 =</t>
  </si>
  <si>
    <t>Данная программа является приложением к статье:</t>
  </si>
  <si>
    <t>Для использования программы в научных или коммерческих целях необходимо получить разрешение автора.</t>
  </si>
  <si>
    <t>E-mail: gpushnoi@yahoo.com</t>
  </si>
  <si>
    <t>Зелёным цветом помечены параметры, которые можно задавать произвольно.</t>
  </si>
  <si>
    <t>Модель простого воспроизводства с тремя департаментами.</t>
  </si>
  <si>
    <t>Восстановленная матрица Модели-1.</t>
  </si>
  <si>
    <t>P</t>
  </si>
  <si>
    <t>Sum:</t>
  </si>
  <si>
    <t>a12</t>
  </si>
  <si>
    <t>a21</t>
  </si>
  <si>
    <t>SpA</t>
  </si>
  <si>
    <t>Общая структура восстановленной матрицы Модели-1</t>
  </si>
  <si>
    <t>a11</t>
  </si>
  <si>
    <t>a13</t>
  </si>
  <si>
    <t>detA</t>
  </si>
  <si>
    <t>a22</t>
  </si>
  <si>
    <t>a23</t>
  </si>
  <si>
    <t>Проверка</t>
  </si>
  <si>
    <t>Вектора выпуска и цен.</t>
  </si>
  <si>
    <t>C1 = p1*a11*X1</t>
  </si>
  <si>
    <t>V1 = p2*a21*X1</t>
  </si>
  <si>
    <t>(C1+V1)*R</t>
  </si>
  <si>
    <t>(C1+V1)*(1+R)</t>
  </si>
  <si>
    <t>X21</t>
  </si>
  <si>
    <t>p12</t>
  </si>
  <si>
    <t>C2 = p1*a12*X2</t>
  </si>
  <si>
    <t>V2 = p2*a22*X2</t>
  </si>
  <si>
    <t>(C2+V2)*R</t>
  </si>
  <si>
    <t>(C2+V2)*(1+R)</t>
  </si>
  <si>
    <t>X31</t>
  </si>
  <si>
    <t>p1</t>
  </si>
  <si>
    <t>C3 = p1*a13*X3</t>
  </si>
  <si>
    <t>V3 = p2*a23*X3</t>
  </si>
  <si>
    <t>(C3+V3)*R</t>
  </si>
  <si>
    <t>(C3+V3)*(1+R)</t>
  </si>
  <si>
    <t>p2</t>
  </si>
  <si>
    <t>p3</t>
  </si>
  <si>
    <t>R - норма прибыли</t>
  </si>
  <si>
    <t>R = W3 : (C3+V3) - 1 = 1 : (p1*a13+p2*a23) - 1</t>
  </si>
  <si>
    <t>A =</t>
  </si>
  <si>
    <t>C1 : C</t>
  </si>
  <si>
    <t>(C3*X1) : (C*W3)</t>
  </si>
  <si>
    <t>(C2*V1) : (C*V*a12)</t>
  </si>
  <si>
    <t>V2 : V</t>
  </si>
  <si>
    <t>(C2*V3*X1) : (C*V*W3*a12)</t>
  </si>
  <si>
    <t>Ставка оплаты труда w =</t>
  </si>
  <si>
    <t>Вектор прямых затрат труда на единицу продукции.</t>
  </si>
  <si>
    <t>Обозначения:</t>
  </si>
  <si>
    <t>C = C1+C2+C3</t>
  </si>
  <si>
    <t>V=V1+V2+V3</t>
  </si>
  <si>
    <t>W1=(C1+V1)*(1+R)</t>
  </si>
  <si>
    <t>Алгоритм вычисления цен.</t>
  </si>
  <si>
    <t>W2=(C2+V2)*(1+R)</t>
  </si>
  <si>
    <t>C : X1</t>
  </si>
  <si>
    <t>W3=(C3+V3)*(1+R)</t>
  </si>
  <si>
    <t>(C*V*a12) : (C2*X1)</t>
  </si>
  <si>
    <t>Алгоритм вычисления объёмов выпуска:</t>
  </si>
  <si>
    <t>произвольное</t>
  </si>
  <si>
    <t>(C2*X1) : (C*a12)</t>
  </si>
  <si>
    <t>W3</t>
  </si>
  <si>
    <t>Результаты, приведённые в статье Калюжного В.В. (2014b)</t>
  </si>
  <si>
    <t>Алгоритм обратной трансформации Валерия Калюжного из статьи:</t>
  </si>
  <si>
    <t>"Проблема трансформации: ошибочные аргументы Туган-Барановского, Борткевича и Стидмена".</t>
  </si>
  <si>
    <t>http://papers.ssrn.com/sol3/papers.cfm?abstract_id=2419428</t>
  </si>
  <si>
    <t>Jv</t>
  </si>
  <si>
    <t>стр. 15-16.</t>
  </si>
  <si>
    <t>Jc</t>
  </si>
  <si>
    <t>m'</t>
  </si>
  <si>
    <t>V+P в ценах производства</t>
  </si>
  <si>
    <t>V + P в стоимостях</t>
  </si>
  <si>
    <t>W в ценах производства</t>
  </si>
  <si>
    <t>W в стоимостях</t>
  </si>
  <si>
    <t>Не выполняется второе условие трансформирования ни для совокупного выпуска ни для конечного продукта.</t>
  </si>
  <si>
    <t>Коэффициенты технологической матрицы по алгоритму Калюжного Валерия Васильевича из статьи:</t>
  </si>
  <si>
    <t>Алгоритм Калюжного</t>
  </si>
  <si>
    <t>Алгоритм Пушного</t>
  </si>
  <si>
    <t>Оба алгоритма дают одинаковый результат, если W3 = X1 = X2 = X3</t>
  </si>
  <si>
    <t>Формулы алгоритма Калюжного (2014b), стр. 8.</t>
  </si>
  <si>
    <t>a11 =</t>
  </si>
  <si>
    <t>a12 =</t>
  </si>
  <si>
    <t>C2 : C</t>
  </si>
  <si>
    <t>a13 =</t>
  </si>
  <si>
    <t>C3 : C</t>
  </si>
  <si>
    <t>a21 =</t>
  </si>
  <si>
    <t>V1 : V</t>
  </si>
  <si>
    <t>a22 =</t>
  </si>
  <si>
    <t>a23 =</t>
  </si>
  <si>
    <t>V3 : V</t>
  </si>
  <si>
    <t>Задача обратного трансформирования.</t>
  </si>
  <si>
    <t>Решение задачи "обратного трансформирования"</t>
  </si>
  <si>
    <t>t</t>
  </si>
  <si>
    <t>P'</t>
  </si>
  <si>
    <t>Реалистичное решение существует лишь при симметричной матрице общественного воспроизводства в ценах производства (верхняя таблица).</t>
  </si>
  <si>
    <t>Равные величины помечены одинаковым цветом.</t>
  </si>
  <si>
    <t>пропорционально вектору выпуска средств производства и предметов потребления. В этом случае коэффициенты трансформации удовлетворяют условию постановки задачи Борткевича: x1 = x2 = x3 = x; y1 = y2 = y3 = y</t>
  </si>
  <si>
    <t>Здесь рассмотрен случай, когда потребление средств производства и предметов потребления в каждом подразделении</t>
  </si>
  <si>
    <t>Обобщённая Матрица Леонтьева для Модели-1</t>
  </si>
  <si>
    <t>Алгоритм вычисления коэффициентов обобщённой матрицы Леонтьева для заданной матрицы Модели-1</t>
  </si>
  <si>
    <t xml:space="preserve">Исходная матрица Модели-1 в ценах производства: </t>
  </si>
  <si>
    <t>условие нормировки вектора цен</t>
  </si>
  <si>
    <t>p3 =</t>
  </si>
  <si>
    <t>Matrix2n0</t>
  </si>
  <si>
    <t>СТРУКТУРА-0</t>
  </si>
  <si>
    <t>alpha*X2*l1</t>
  </si>
  <si>
    <t>alpha*X2*l2</t>
  </si>
  <si>
    <t>alpha*X2*l3</t>
  </si>
  <si>
    <t>Matrix2n01</t>
  </si>
  <si>
    <t>CRX</t>
  </si>
  <si>
    <t>Константа для X2; X3</t>
  </si>
  <si>
    <t>CRl</t>
  </si>
  <si>
    <t>Константа для l1;l2;l3</t>
  </si>
  <si>
    <t>Matrix2n02</t>
  </si>
  <si>
    <t>Matrix2n03</t>
  </si>
  <si>
    <t>Matrix2n04</t>
  </si>
  <si>
    <t>Matrix2n05</t>
  </si>
  <si>
    <t>Matrix2n06</t>
  </si>
  <si>
    <t>Matrix2n07</t>
  </si>
  <si>
    <t>Число отраслей</t>
  </si>
  <si>
    <t>Matrix2n08</t>
  </si>
  <si>
    <t>Matrix2n09</t>
  </si>
  <si>
    <t>Matrix2n010</t>
  </si>
  <si>
    <t>Константа нормировки случайного равномерного распределения</t>
  </si>
  <si>
    <t>для вектора живого труда</t>
  </si>
  <si>
    <t>для векторов выпуска второго и третьего подразделений</t>
  </si>
  <si>
    <t>Matrix2n011</t>
  </si>
  <si>
    <t>CN</t>
  </si>
  <si>
    <t>Среднее</t>
  </si>
  <si>
    <t>Matrix2n012</t>
  </si>
  <si>
    <t>Matrix2n013</t>
  </si>
  <si>
    <t>СТРУКТУРА-01</t>
  </si>
  <si>
    <t>Matrix2n014</t>
  </si>
  <si>
    <t>Matrix2n015</t>
  </si>
  <si>
    <t>Matrix2n016</t>
  </si>
  <si>
    <t>Matrix2n017</t>
  </si>
  <si>
    <t>Matrix2n018</t>
  </si>
  <si>
    <t>Matrix2n019</t>
  </si>
  <si>
    <t>Matrix2n020</t>
  </si>
  <si>
    <t>N = 435</t>
  </si>
  <si>
    <t>N = 650</t>
  </si>
  <si>
    <t>Matrix2n021</t>
  </si>
  <si>
    <t>Matrix2n022</t>
  </si>
  <si>
    <t>Matrix2n023</t>
  </si>
  <si>
    <t>Matrix2n024</t>
  </si>
  <si>
    <t>среднее абсолютное отклонение</t>
  </si>
  <si>
    <t>делённое на среднее значение</t>
  </si>
  <si>
    <t>LgW</t>
  </si>
  <si>
    <t>lgk</t>
  </si>
  <si>
    <t>Выборка из предыдущей таблицы значений с примерно равными нормами прибыли</t>
  </si>
  <si>
    <r>
      <t xml:space="preserve">R </t>
    </r>
    <r>
      <rPr>
        <sz val="11"/>
        <color theme="1"/>
        <rFont val="Calibri"/>
        <family val="2"/>
        <charset val="204"/>
      </rPr>
      <t>≈ 0.13</t>
    </r>
  </si>
  <si>
    <t>Дисперсия органических строений делить на k</t>
  </si>
  <si>
    <t>Уровень ассимметрии</t>
  </si>
  <si>
    <t>для стоимостной матрицы</t>
  </si>
  <si>
    <t>для матрицы в ценах производства</t>
  </si>
  <si>
    <t>Уровень ассимметрии для матрицы в ценах производства</t>
  </si>
  <si>
    <t>Lg</t>
  </si>
  <si>
    <t>стандартное отклонение</t>
  </si>
  <si>
    <t>Стандартное отклонение органического стоимостного строения, делённое на среднее стоимостное строение</t>
  </si>
  <si>
    <t>lg</t>
  </si>
  <si>
    <t>Уровень ассимметрии для матрицы в стоимостях</t>
  </si>
  <si>
    <t>для матрицы в стоимостях</t>
  </si>
  <si>
    <t>TransformationMATRIXbig1</t>
  </si>
  <si>
    <t>TransformationMATRIXbig2</t>
  </si>
  <si>
    <t>TransformationMATRIXbig3</t>
  </si>
  <si>
    <t>отраслей</t>
  </si>
  <si>
    <t>N = 3400</t>
  </si>
  <si>
    <t>TransformationMATRIXbig4</t>
  </si>
  <si>
    <t>TransformationMATRIXbig5</t>
  </si>
  <si>
    <t>TransformationMATRIXbig6</t>
  </si>
  <si>
    <t>TransformationMATRIXbig7</t>
  </si>
  <si>
    <t>TransformationMATRIXbig8</t>
  </si>
  <si>
    <t>TransformationMATRIXbig9</t>
  </si>
  <si>
    <t>TransformationMATRIXbig10</t>
  </si>
  <si>
    <t>r</t>
  </si>
  <si>
    <t>C:V</t>
  </si>
  <si>
    <t>Labor commanded</t>
  </si>
  <si>
    <t>Mv</t>
  </si>
  <si>
    <t>Mm</t>
  </si>
  <si>
    <t>Cx+Vy</t>
  </si>
  <si>
    <t>alpha</t>
  </si>
  <si>
    <t>SUM:</t>
  </si>
  <si>
    <t>Labor cost</t>
  </si>
  <si>
    <t>Parameters of transformation</t>
  </si>
  <si>
    <t>S1</t>
  </si>
  <si>
    <t>S2</t>
  </si>
  <si>
    <t>z =</t>
  </si>
  <si>
    <t>C2</t>
  </si>
  <si>
    <t>V+Mv =</t>
  </si>
  <si>
    <t>Mm =</t>
  </si>
  <si>
    <t>Prices of production</t>
  </si>
  <si>
    <t>z</t>
  </si>
  <si>
    <t>M'v = y*Mv</t>
  </si>
  <si>
    <t>M'm = Mm*z</t>
  </si>
  <si>
    <t>P = M'v + M'm</t>
  </si>
  <si>
    <t>P = r* (C'x+V'y)</t>
  </si>
  <si>
    <t>V' + M'v =</t>
  </si>
  <si>
    <t>M'm =</t>
  </si>
  <si>
    <t>Условия, которые необходимо наложить для решения задачи трансформирования:</t>
  </si>
  <si>
    <t>Условие №1.</t>
  </si>
  <si>
    <t>Условие №2.</t>
  </si>
  <si>
    <t>Модель-2 в стоимостях в форме labor cost</t>
  </si>
  <si>
    <t>Iia</t>
  </si>
  <si>
    <t>IIIb</t>
  </si>
  <si>
    <t xml:space="preserve">III </t>
  </si>
  <si>
    <t>Модель-1 в стоимостях в форме labor cost</t>
  </si>
  <si>
    <t>I'</t>
  </si>
  <si>
    <t>II'</t>
  </si>
  <si>
    <t>III'</t>
  </si>
  <si>
    <t>Модель-1 в ценах производства</t>
  </si>
  <si>
    <t>I''</t>
  </si>
  <si>
    <t>II''</t>
  </si>
  <si>
    <t>III''</t>
  </si>
  <si>
    <t>b</t>
  </si>
  <si>
    <t>a</t>
  </si>
  <si>
    <t>Коэффициенты структуры стоимостной матрицы в Таблице 6, стр. 17 статьи Пушной (2011).</t>
  </si>
  <si>
    <t>http://www.socintegrum.ru/Pushnoi_2011_1/Pushnoi_2011_1_rus.pdf</t>
  </si>
  <si>
    <t>Модель-1 через параметры (labor commanded)</t>
  </si>
  <si>
    <t>Модель-1 через параметры (labor cost)</t>
  </si>
  <si>
    <t>Матрица общественного воспроизводства в стоимостях ("labor cost").</t>
  </si>
  <si>
    <t>Решение существует лишь для симметричной матрицы в ценах производства.</t>
  </si>
  <si>
    <t>"Решение проблемы трансформирования в модели простого воспроизводства с тремя департаметнами - II".</t>
  </si>
  <si>
    <t>ПРИЛОЖЕНИЕ К ГЛАВЕ VI.</t>
  </si>
  <si>
    <t>Квазирешение "проблемы трансформирования" в Модели-1 простого воспроизводства с тремя подразделениями.</t>
  </si>
  <si>
    <t>СЕРИЯ-1</t>
  </si>
  <si>
    <t>СЕРИЯ-2</t>
  </si>
  <si>
    <t>СЕРИЯ-3</t>
  </si>
  <si>
    <t>СЕРИЯ-4</t>
  </si>
  <si>
    <t>СЕРИЯ-5</t>
  </si>
  <si>
    <t>ПРИЛОЖЕНИЕ К ГЛАВЕ IV.</t>
  </si>
  <si>
    <t>ПРИЛОЖЕНИЕ К ГЛАВЕ V.</t>
  </si>
  <si>
    <t>ПРИЛОЖЕНИЕ К ГЛАВЕ VIII.</t>
  </si>
  <si>
    <t>ГРАФИКИ И ОБРАБОТКА ДАННЫХ, СОБРАННЫХ НА ЛИСТЕ 'MatrixExamplesMathematics'.</t>
  </si>
  <si>
    <t>РЕЗУЛЬТАТЫ РАСЧЁТА ЦЕН ПРОИЗВОДСТВА ПРИ РАВЕНСТВЕ СУММАРНОЙ ПРИБЫЛИ И СУММАРНОЙ ПРИБАВОЧНОЙ СТОИМОСТИ В ПРОГРАММЕ "MATHEMATICA 8.0".</t>
  </si>
  <si>
    <t>ПРИМЕР РАСЧЁТА МОДЕЛИ-1, ИСХОДЯ ИЗ МАТРИЧНОЙ ПОСТАНОВКИ ЗАДАЧИ ТРАНСФОРМИРОВАНИЯ.</t>
  </si>
  <si>
    <t>Пушной Григорий Сергеевич (2015).</t>
  </si>
  <si>
    <t>ПРОВЕРОЧНЫЙ ТЕСТ. РАСЧЁТ ВЫПОЛНЕНН В EXCEL И В ПРОГРАММЕ 'MATHEMATICA 8.1'</t>
  </si>
  <si>
    <t>NI</t>
  </si>
  <si>
    <t>NII</t>
  </si>
  <si>
    <t>NIII</t>
  </si>
  <si>
    <t>PI</t>
  </si>
  <si>
    <t>PII</t>
  </si>
  <si>
    <t>PIII</t>
  </si>
  <si>
    <t>XI</t>
  </si>
  <si>
    <t>XII</t>
  </si>
  <si>
    <t>XIII</t>
  </si>
  <si>
    <t>Относ. Отклон. %</t>
  </si>
  <si>
    <t>Расчёт по средним.</t>
  </si>
  <si>
    <t>Статистика относительных отклонений элементов матриц в ценах производства, построенных методом точного расчёта и методом вычисления через средние значения.</t>
  </si>
  <si>
    <t>N1</t>
  </si>
  <si>
    <t>N2</t>
  </si>
  <si>
    <t>N3</t>
  </si>
  <si>
    <t>Abs[(C1 - C1'):C1]*100</t>
  </si>
  <si>
    <t>Отклонения в процентах:</t>
  </si>
  <si>
    <t>Abs[(C2 - C2'):C2]*100</t>
  </si>
  <si>
    <t>Abs[(C3 - C3'):C3]*100</t>
  </si>
  <si>
    <t>Abs[(V1 - V1'):V1]*100</t>
  </si>
  <si>
    <t>Abs[(V2 - V2'):V2]*100</t>
  </si>
  <si>
    <t>Abs[(V3 - V3'):V3]*100</t>
  </si>
  <si>
    <t>Программа</t>
  </si>
  <si>
    <t>TransformationMATRIX2</t>
  </si>
  <si>
    <t>TransformationMATRIX3</t>
  </si>
  <si>
    <t>TransformationMATRIX4</t>
  </si>
  <si>
    <t>TransformationMATRIX5</t>
  </si>
  <si>
    <t>TransformationMATRIX6</t>
  </si>
  <si>
    <t>TransformationMATRIX7</t>
  </si>
  <si>
    <t>TransformationMATRIX21</t>
  </si>
  <si>
    <t>TransformationMATRIX22</t>
  </si>
  <si>
    <t>TransformationMATRIX23</t>
  </si>
  <si>
    <t>TransformationMATRIX24</t>
  </si>
  <si>
    <t>TransformationMATRIX25</t>
  </si>
  <si>
    <t>TransformationMATRIX26</t>
  </si>
  <si>
    <t>TransformationMATRIX27</t>
  </si>
  <si>
    <t>TransformationMATRIX28</t>
  </si>
  <si>
    <t>TransformationMATRIX29</t>
  </si>
  <si>
    <t>TransformationMATRIX31</t>
  </si>
  <si>
    <t>TransformationMATRIX32</t>
  </si>
  <si>
    <t>TransformationMATRIX33</t>
  </si>
  <si>
    <t>TransformationMATRIX34</t>
  </si>
  <si>
    <t>TransformationMATRIX41</t>
  </si>
  <si>
    <t>TransformationMATRIX42</t>
  </si>
  <si>
    <t>TransformationMATRIX43</t>
  </si>
  <si>
    <t>TransformationMATRIX44</t>
  </si>
  <si>
    <t>TransformationMATRIX45</t>
  </si>
  <si>
    <t>TransformationMATRIX51</t>
  </si>
  <si>
    <t>TransformationMATRIX52</t>
  </si>
  <si>
    <t>TransformationMATRIX53</t>
  </si>
  <si>
    <t>TransformationMATRIX54</t>
  </si>
  <si>
    <t>TransformationMATRIX55</t>
  </si>
  <si>
    <t>TransformationMATRIX61</t>
  </si>
  <si>
    <t>TransformationMATRIX2n0</t>
  </si>
  <si>
    <t>TransformationMATRIX2n01</t>
  </si>
  <si>
    <t>Блок Program-1</t>
  </si>
  <si>
    <t>Блок Program-2</t>
  </si>
  <si>
    <t>TransformationMATRIX56</t>
  </si>
  <si>
    <t>TransformationMATRIX57</t>
  </si>
  <si>
    <t>TransformationMATRIX58</t>
  </si>
  <si>
    <t>TransformationMATRIX59</t>
  </si>
  <si>
    <t>TransformationMATRIX71</t>
  </si>
  <si>
    <t>TransformationMATRIX72</t>
  </si>
  <si>
    <t>TransformationMATRIX73</t>
  </si>
  <si>
    <t>TransformationMATRIX74</t>
  </si>
  <si>
    <t>TransformationMATRIX75</t>
  </si>
  <si>
    <t>TransformationMATRIX76</t>
  </si>
  <si>
    <t>TransformationMATRIX77</t>
  </si>
  <si>
    <t>TransformationMATRIX210</t>
  </si>
  <si>
    <t>TransformationMATRIX211</t>
  </si>
  <si>
    <t>TransformationMATRIX212</t>
  </si>
  <si>
    <t>TransformationMATRIX213</t>
  </si>
  <si>
    <t>TransformationMATRIX214</t>
  </si>
  <si>
    <t>TransformationMATRIX215</t>
  </si>
  <si>
    <t>TransformationMATRIX216</t>
  </si>
  <si>
    <t>TransformationMATRIX510</t>
  </si>
  <si>
    <t>TransformationMATRIX511</t>
  </si>
  <si>
    <t>TransformationMATRIX512</t>
  </si>
  <si>
    <t>TransformationMATRIX513</t>
  </si>
  <si>
    <t>V3</t>
  </si>
  <si>
    <t>V2</t>
  </si>
  <si>
    <t>V1</t>
  </si>
  <si>
    <t>C3</t>
  </si>
  <si>
    <t>C1</t>
  </si>
  <si>
    <t>TransformationMATRIX2n02</t>
  </si>
  <si>
    <t>TransformationMATRIX2n03</t>
  </si>
  <si>
    <t>TransformationMATRIX2n04</t>
  </si>
  <si>
    <t>TransformationMATRIX2n06</t>
  </si>
  <si>
    <t>TransformationMATRIX2n07</t>
  </si>
  <si>
    <t>TransformationMATRIX2n08</t>
  </si>
  <si>
    <t>TransformationMATRIX2n09</t>
  </si>
  <si>
    <t>TransformationMATRIX2n010</t>
  </si>
  <si>
    <t>TransformationMATRIX2n011</t>
  </si>
  <si>
    <t>TransformationMATRIX2n012</t>
  </si>
  <si>
    <t>TransformationMATRIX2n013</t>
  </si>
  <si>
    <t>TransformationMATRIX2n014</t>
  </si>
  <si>
    <t>TransformationMATRIX2n015</t>
  </si>
  <si>
    <t>TransformationMATRIX2n016</t>
  </si>
  <si>
    <t>TransformationMATRIX2n017</t>
  </si>
  <si>
    <t>TransformationMATRIX2n018</t>
  </si>
  <si>
    <t>Матрица  (C-V) средних значений.</t>
  </si>
  <si>
    <t>Число слагаемых в двойной сумме для отдельных элементов матрицы средних значений.</t>
  </si>
  <si>
    <t>Относительные отклонения в процентах после усреднения</t>
  </si>
  <si>
    <t>TransformationMATRIX2n019</t>
  </si>
  <si>
    <t>TransformationMATRIX2n020</t>
  </si>
  <si>
    <t>TransformationMATRIX2n021</t>
  </si>
  <si>
    <t>TransformationMATRIX2n022</t>
  </si>
  <si>
    <t>TransformationMATRIX2n023</t>
  </si>
  <si>
    <t>TransformationMATRIX2n024</t>
  </si>
  <si>
    <t>С1</t>
  </si>
  <si>
    <t>С2</t>
  </si>
  <si>
    <t>С3</t>
  </si>
</sst>
</file>

<file path=xl/styles.xml><?xml version="1.0" encoding="utf-8"?>
<styleSheet xmlns="http://schemas.openxmlformats.org/spreadsheetml/2006/main">
  <numFmts count="7">
    <numFmt numFmtId="164" formatCode="0.000"/>
    <numFmt numFmtId="165" formatCode="0.0000"/>
    <numFmt numFmtId="166" formatCode="0.00000%"/>
    <numFmt numFmtId="167" formatCode="0.0000%"/>
    <numFmt numFmtId="168" formatCode="0.00000"/>
    <numFmt numFmtId="169" formatCode="0.000E+00"/>
    <numFmt numFmtId="170" formatCode="0.0000E+00"/>
  </numFmts>
  <fonts count="3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theme="9" tint="-0.24994659260841701"/>
      <name val="Calibri"/>
      <family val="2"/>
      <charset val="204"/>
      <scheme val="minor"/>
    </font>
    <font>
      <b/>
      <sz val="11"/>
      <color theme="5" tint="-0.24994659260841701"/>
      <name val="Calibri"/>
      <family val="2"/>
      <charset val="204"/>
      <scheme val="minor"/>
    </font>
    <font>
      <b/>
      <sz val="11"/>
      <color theme="9" tint="-0.499984740745262"/>
      <name val="Calibri"/>
      <family val="2"/>
      <charset val="204"/>
      <scheme val="minor"/>
    </font>
    <font>
      <b/>
      <sz val="11"/>
      <color theme="4" tint="-0.499984740745262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  <font>
      <b/>
      <i/>
      <u/>
      <sz val="11"/>
      <color theme="6" tint="-0.24994659260841701"/>
      <name val="Calibri"/>
      <family val="2"/>
      <charset val="204"/>
      <scheme val="minor"/>
    </font>
    <font>
      <b/>
      <sz val="11"/>
      <color theme="5" tint="0.39994506668294322"/>
      <name val="Calibri"/>
      <family val="2"/>
      <charset val="204"/>
      <scheme val="minor"/>
    </font>
    <font>
      <b/>
      <sz val="11"/>
      <color theme="2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5" tint="-0.2499465926084170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8" tint="-0.499984740745262"/>
      <name val="Calibri"/>
      <family val="2"/>
      <charset val="204"/>
      <scheme val="minor"/>
    </font>
    <font>
      <b/>
      <sz val="11"/>
      <color theme="5" tint="-0.499984740745262"/>
      <name val="Calibri"/>
      <family val="2"/>
      <charset val="204"/>
      <scheme val="minor"/>
    </font>
    <font>
      <b/>
      <sz val="11"/>
      <color theme="6" tint="-0.24994659260841701"/>
      <name val="Calibri"/>
      <family val="2"/>
      <charset val="204"/>
      <scheme val="minor"/>
    </font>
    <font>
      <b/>
      <sz val="11"/>
      <color theme="7" tint="-0.499984740745262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auto="1"/>
      </patternFill>
    </fill>
  </fills>
  <borders count="7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rgb="FF00B050"/>
      </left>
      <right style="thin">
        <color rgb="FF00B050"/>
      </right>
      <top style="double">
        <color rgb="FF00B050"/>
      </top>
      <bottom style="thin">
        <color rgb="FF00B050"/>
      </bottom>
      <diagonal/>
    </border>
    <border>
      <left style="thin">
        <color rgb="FF00B050"/>
      </left>
      <right style="double">
        <color rgb="FF00B050"/>
      </right>
      <top style="double">
        <color rgb="FF00B050"/>
      </top>
      <bottom style="thin">
        <color rgb="FF00B05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00B050"/>
      </left>
      <right style="thin">
        <color rgb="FF00B050"/>
      </right>
      <top style="thin">
        <color rgb="FF00B050"/>
      </top>
      <bottom style="double">
        <color rgb="FF00B050"/>
      </bottom>
      <diagonal/>
    </border>
    <border>
      <left style="thin">
        <color rgb="FF00B050"/>
      </left>
      <right style="double">
        <color rgb="FF00B050"/>
      </right>
      <top style="thin">
        <color rgb="FF00B050"/>
      </top>
      <bottom style="double">
        <color rgb="FF00B05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rgb="FF00B050"/>
      </right>
      <top style="double">
        <color auto="1"/>
      </top>
      <bottom style="thin">
        <color rgb="FF00B050"/>
      </bottom>
      <diagonal/>
    </border>
    <border>
      <left style="thin">
        <color rgb="FF00B050"/>
      </left>
      <right style="double">
        <color rgb="FF00B050"/>
      </right>
      <top style="double">
        <color auto="1"/>
      </top>
      <bottom style="thin">
        <color rgb="FF00B050"/>
      </bottom>
      <diagonal/>
    </border>
    <border>
      <left style="double">
        <color auto="1"/>
      </left>
      <right style="thin">
        <color rgb="FF00B050"/>
      </right>
      <top style="thin">
        <color rgb="FF00B050"/>
      </top>
      <bottom style="double">
        <color rgb="FF00B050"/>
      </bottom>
      <diagonal/>
    </border>
    <border>
      <left style="thin">
        <color rgb="FF00B050"/>
      </left>
      <right/>
      <top style="thin">
        <color rgb="FF00B050"/>
      </top>
      <bottom style="double">
        <color rgb="FF00B050"/>
      </bottom>
      <diagonal/>
    </border>
    <border>
      <left style="double">
        <color auto="1"/>
      </left>
      <right style="thin">
        <color auto="1"/>
      </right>
      <top style="double">
        <color rgb="FF00B050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rgb="FF00B050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rgb="FF00B050"/>
      </left>
      <right style="double">
        <color rgb="FF00B050"/>
      </right>
      <top/>
      <bottom style="double">
        <color rgb="FF00B050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2" fillId="0" borderId="5" xfId="0" applyFont="1" applyBorder="1"/>
    <xf numFmtId="0" fontId="2" fillId="0" borderId="11" xfId="0" applyFont="1" applyBorder="1"/>
    <xf numFmtId="0" fontId="3" fillId="0" borderId="5" xfId="0" applyFont="1" applyBorder="1"/>
    <xf numFmtId="0" fontId="3" fillId="0" borderId="11" xfId="0" applyFont="1" applyBorder="1"/>
    <xf numFmtId="0" fontId="4" fillId="0" borderId="14" xfId="0" applyFont="1" applyBorder="1"/>
    <xf numFmtId="0" fontId="5" fillId="0" borderId="14" xfId="0" applyFont="1" applyBorder="1"/>
    <xf numFmtId="0" fontId="6" fillId="0" borderId="5" xfId="0" applyFont="1" applyBorder="1"/>
    <xf numFmtId="0" fontId="6" fillId="0" borderId="14" xfId="0" applyFont="1" applyBorder="1"/>
    <xf numFmtId="0" fontId="7" fillId="0" borderId="5" xfId="0" applyFont="1" applyBorder="1"/>
    <xf numFmtId="0" fontId="7" fillId="0" borderId="14" xfId="0" applyFont="1" applyBorder="1"/>
    <xf numFmtId="0" fontId="5" fillId="0" borderId="8" xfId="0" applyFont="1" applyBorder="1"/>
    <xf numFmtId="0" fontId="8" fillId="0" borderId="5" xfId="0" applyFont="1" applyBorder="1"/>
    <xf numFmtId="0" fontId="8" fillId="0" borderId="14" xfId="0" applyFont="1" applyBorder="1"/>
    <xf numFmtId="0" fontId="9" fillId="0" borderId="5" xfId="0" applyFont="1" applyBorder="1"/>
    <xf numFmtId="0" fontId="9" fillId="0" borderId="14" xfId="0" applyFont="1" applyBorder="1"/>
    <xf numFmtId="0" fontId="1" fillId="0" borderId="0" xfId="0" applyFont="1"/>
    <xf numFmtId="0" fontId="2" fillId="0" borderId="0" xfId="0" applyFont="1"/>
    <xf numFmtId="0" fontId="0" fillId="0" borderId="1" xfId="0" applyFill="1" applyBorder="1"/>
    <xf numFmtId="0" fontId="0" fillId="0" borderId="4" xfId="0" applyFill="1" applyBorder="1"/>
    <xf numFmtId="0" fontId="0" fillId="0" borderId="7" xfId="0" applyFill="1" applyBorder="1"/>
    <xf numFmtId="164" fontId="0" fillId="0" borderId="2" xfId="0" applyNumberFormat="1" applyBorder="1"/>
    <xf numFmtId="164" fontId="0" fillId="0" borderId="5" xfId="0" applyNumberFormat="1" applyBorder="1"/>
    <xf numFmtId="164" fontId="0" fillId="0" borderId="8" xfId="0" applyNumberFormat="1" applyBorder="1"/>
    <xf numFmtId="164" fontId="0" fillId="0" borderId="3" xfId="0" applyNumberFormat="1" applyBorder="1"/>
    <xf numFmtId="164" fontId="3" fillId="0" borderId="5" xfId="0" applyNumberFormat="1" applyFont="1" applyBorder="1"/>
    <xf numFmtId="164" fontId="8" fillId="0" borderId="5" xfId="0" applyNumberFormat="1" applyFont="1" applyBorder="1"/>
    <xf numFmtId="164" fontId="0" fillId="0" borderId="6" xfId="0" applyNumberFormat="1" applyBorder="1"/>
    <xf numFmtId="164" fontId="9" fillId="0" borderId="5" xfId="0" applyNumberFormat="1" applyFont="1" applyBorder="1"/>
    <xf numFmtId="164" fontId="5" fillId="0" borderId="8" xfId="0" applyNumberFormat="1" applyFont="1" applyBorder="1"/>
    <xf numFmtId="164" fontId="0" fillId="0" borderId="9" xfId="0" applyNumberFormat="1" applyBorder="1"/>
    <xf numFmtId="164" fontId="8" fillId="0" borderId="14" xfId="0" applyNumberFormat="1" applyFont="1" applyBorder="1"/>
    <xf numFmtId="164" fontId="9" fillId="0" borderId="14" xfId="0" applyNumberFormat="1" applyFont="1" applyBorder="1"/>
    <xf numFmtId="164" fontId="3" fillId="0" borderId="11" xfId="0" applyNumberFormat="1" applyFont="1" applyBorder="1"/>
    <xf numFmtId="164" fontId="0" fillId="0" borderId="15" xfId="0" applyNumberFormat="1" applyBorder="1"/>
    <xf numFmtId="164" fontId="2" fillId="0" borderId="5" xfId="0" applyNumberFormat="1" applyFont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/>
    <xf numFmtId="0" fontId="0" fillId="0" borderId="28" xfId="0" applyBorder="1"/>
    <xf numFmtId="0" fontId="0" fillId="0" borderId="16" xfId="0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0" xfId="0" applyFont="1" applyFill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6" xfId="0" applyFont="1" applyBorder="1"/>
    <xf numFmtId="0" fontId="10" fillId="0" borderId="8" xfId="0" applyFont="1" applyBorder="1"/>
    <xf numFmtId="0" fontId="5" fillId="0" borderId="6" xfId="0" applyFont="1" applyBorder="1"/>
    <xf numFmtId="0" fontId="11" fillId="0" borderId="6" xfId="0" applyFont="1" applyBorder="1"/>
    <xf numFmtId="0" fontId="11" fillId="0" borderId="8" xfId="0" applyFont="1" applyBorder="1"/>
    <xf numFmtId="0" fontId="1" fillId="0" borderId="6" xfId="0" applyFont="1" applyBorder="1"/>
    <xf numFmtId="0" fontId="1" fillId="0" borderId="8" xfId="0" applyFont="1" applyBorder="1"/>
    <xf numFmtId="0" fontId="7" fillId="0" borderId="6" xfId="0" applyFont="1" applyBorder="1"/>
    <xf numFmtId="0" fontId="7" fillId="0" borderId="8" xfId="0" applyFont="1" applyBorder="1"/>
    <xf numFmtId="0" fontId="4" fillId="0" borderId="0" xfId="0" applyFont="1"/>
    <xf numFmtId="0" fontId="0" fillId="0" borderId="30" xfId="0" applyBorder="1"/>
    <xf numFmtId="10" fontId="0" fillId="0" borderId="0" xfId="0" applyNumberFormat="1"/>
    <xf numFmtId="165" fontId="0" fillId="0" borderId="5" xfId="0" applyNumberFormat="1" applyBorder="1"/>
    <xf numFmtId="165" fontId="0" fillId="0" borderId="6" xfId="0" applyNumberFormat="1" applyBorder="1"/>
    <xf numFmtId="165" fontId="0" fillId="0" borderId="8" xfId="0" applyNumberFormat="1" applyBorder="1"/>
    <xf numFmtId="0" fontId="0" fillId="0" borderId="0" xfId="0" applyFill="1" applyBorder="1"/>
    <xf numFmtId="165" fontId="2" fillId="0" borderId="6" xfId="0" applyNumberFormat="1" applyFont="1" applyBorder="1"/>
    <xf numFmtId="165" fontId="2" fillId="0" borderId="8" xfId="0" applyNumberFormat="1" applyFont="1" applyBorder="1"/>
    <xf numFmtId="165" fontId="5" fillId="0" borderId="6" xfId="0" applyNumberFormat="1" applyFont="1" applyBorder="1"/>
    <xf numFmtId="165" fontId="5" fillId="0" borderId="8" xfId="0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11" fillId="0" borderId="6" xfId="0" applyNumberFormat="1" applyFont="1" applyBorder="1"/>
    <xf numFmtId="165" fontId="11" fillId="0" borderId="8" xfId="0" applyNumberFormat="1" applyFont="1" applyBorder="1"/>
    <xf numFmtId="165" fontId="7" fillId="0" borderId="6" xfId="0" applyNumberFormat="1" applyFont="1" applyBorder="1"/>
    <xf numFmtId="165" fontId="7" fillId="0" borderId="8" xfId="0" applyNumberFormat="1" applyFont="1" applyBorder="1"/>
    <xf numFmtId="10" fontId="1" fillId="0" borderId="0" xfId="0" applyNumberFormat="1" applyFont="1"/>
    <xf numFmtId="166" fontId="1" fillId="0" borderId="0" xfId="0" applyNumberFormat="1" applyFont="1"/>
    <xf numFmtId="166" fontId="0" fillId="0" borderId="0" xfId="0" applyNumberFormat="1" applyFont="1"/>
    <xf numFmtId="10" fontId="0" fillId="0" borderId="0" xfId="0" applyNumberFormat="1" applyFont="1"/>
    <xf numFmtId="2" fontId="0" fillId="0" borderId="0" xfId="0" applyNumberFormat="1"/>
    <xf numFmtId="165" fontId="0" fillId="0" borderId="0" xfId="0" applyNumberFormat="1"/>
    <xf numFmtId="0" fontId="5" fillId="0" borderId="0" xfId="0" applyFont="1"/>
    <xf numFmtId="0" fontId="0" fillId="0" borderId="31" xfId="0" applyBorder="1"/>
    <xf numFmtId="0" fontId="0" fillId="0" borderId="32" xfId="0" applyBorder="1"/>
    <xf numFmtId="0" fontId="0" fillId="0" borderId="0" xfId="0" applyBorder="1"/>
    <xf numFmtId="0" fontId="1" fillId="0" borderId="0" xfId="0" applyFont="1" applyBorder="1"/>
    <xf numFmtId="10" fontId="1" fillId="0" borderId="0" xfId="0" applyNumberFormat="1" applyFont="1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1" fillId="0" borderId="31" xfId="0" applyFont="1" applyBorder="1"/>
    <xf numFmtId="0" fontId="0" fillId="0" borderId="36" xfId="0" applyBorder="1"/>
    <xf numFmtId="0" fontId="0" fillId="0" borderId="37" xfId="0" applyBorder="1"/>
    <xf numFmtId="166" fontId="1" fillId="0" borderId="0" xfId="0" applyNumberFormat="1" applyFont="1" applyBorder="1"/>
    <xf numFmtId="0" fontId="5" fillId="0" borderId="0" xfId="0" applyFont="1" applyBorder="1"/>
    <xf numFmtId="0" fontId="12" fillId="0" borderId="0" xfId="0" applyFont="1" applyBorder="1"/>
    <xf numFmtId="164" fontId="0" fillId="0" borderId="0" xfId="0" applyNumberFormat="1" applyBorder="1"/>
    <xf numFmtId="164" fontId="0" fillId="0" borderId="0" xfId="0" applyNumberFormat="1" applyFill="1" applyBorder="1"/>
    <xf numFmtId="0" fontId="11" fillId="0" borderId="0" xfId="0" applyFont="1" applyBorder="1"/>
    <xf numFmtId="0" fontId="4" fillId="0" borderId="0" xfId="0" applyFont="1" applyBorder="1"/>
    <xf numFmtId="0" fontId="2" fillId="0" borderId="0" xfId="0" applyFont="1" applyBorder="1"/>
    <xf numFmtId="0" fontId="1" fillId="0" borderId="36" xfId="0" applyFont="1" applyBorder="1"/>
    <xf numFmtId="0" fontId="1" fillId="0" borderId="37" xfId="0" applyFont="1" applyBorder="1"/>
    <xf numFmtId="168" fontId="0" fillId="0" borderId="0" xfId="0" applyNumberFormat="1"/>
    <xf numFmtId="0" fontId="5" fillId="0" borderId="35" xfId="0" applyFont="1" applyBorder="1"/>
    <xf numFmtId="0" fontId="5" fillId="0" borderId="32" xfId="0" applyFont="1" applyBorder="1"/>
    <xf numFmtId="0" fontId="5" fillId="0" borderId="36" xfId="0" applyFont="1" applyBorder="1"/>
    <xf numFmtId="0" fontId="5" fillId="0" borderId="30" xfId="0" applyFont="1" applyBorder="1"/>
    <xf numFmtId="168" fontId="0" fillId="0" borderId="0" xfId="0" applyNumberFormat="1" applyBorder="1"/>
    <xf numFmtId="10" fontId="0" fillId="0" borderId="0" xfId="0" applyNumberFormat="1" applyBorder="1"/>
    <xf numFmtId="2" fontId="0" fillId="0" borderId="0" xfId="0" applyNumberFormat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10" fontId="0" fillId="0" borderId="0" xfId="0" applyNumberFormat="1" applyFont="1" applyBorder="1"/>
    <xf numFmtId="10" fontId="0" fillId="0" borderId="33" xfId="0" applyNumberFormat="1" applyFont="1" applyBorder="1"/>
    <xf numFmtId="10" fontId="1" fillId="0" borderId="33" xfId="0" applyNumberFormat="1" applyFont="1" applyBorder="1"/>
    <xf numFmtId="167" fontId="1" fillId="0" borderId="0" xfId="0" applyNumberFormat="1" applyFont="1" applyBorder="1"/>
    <xf numFmtId="166" fontId="1" fillId="0" borderId="33" xfId="0" applyNumberFormat="1" applyFont="1" applyBorder="1"/>
    <xf numFmtId="0" fontId="1" fillId="0" borderId="33" xfId="0" applyFont="1" applyBorder="1"/>
    <xf numFmtId="169" fontId="0" fillId="0" borderId="0" xfId="0" applyNumberFormat="1" applyBorder="1"/>
    <xf numFmtId="0" fontId="5" fillId="0" borderId="31" xfId="0" applyFont="1" applyBorder="1"/>
    <xf numFmtId="165" fontId="0" fillId="0" borderId="0" xfId="0" applyNumberFormat="1" applyFont="1" applyBorder="1"/>
    <xf numFmtId="165" fontId="0" fillId="0" borderId="0" xfId="0" applyNumberFormat="1" applyBorder="1"/>
    <xf numFmtId="165" fontId="0" fillId="0" borderId="33" xfId="0" applyNumberFormat="1" applyBorder="1"/>
    <xf numFmtId="2" fontId="1" fillId="0" borderId="0" xfId="0" applyNumberFormat="1" applyFont="1" applyBorder="1"/>
    <xf numFmtId="169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8" fontId="0" fillId="0" borderId="5" xfId="0" applyNumberFormat="1" applyBorder="1"/>
    <xf numFmtId="2" fontId="0" fillId="0" borderId="5" xfId="0" applyNumberFormat="1" applyBorder="1"/>
    <xf numFmtId="169" fontId="0" fillId="0" borderId="5" xfId="0" applyNumberFormat="1" applyBorder="1"/>
    <xf numFmtId="169" fontId="0" fillId="0" borderId="8" xfId="0" applyNumberFormat="1" applyBorder="1"/>
    <xf numFmtId="2" fontId="0" fillId="0" borderId="8" xfId="0" applyNumberFormat="1" applyBorder="1"/>
    <xf numFmtId="0" fontId="1" fillId="0" borderId="3" xfId="0" applyFont="1" applyBorder="1" applyAlignment="1">
      <alignment horizontal="center" vertical="center" wrapText="1"/>
    </xf>
    <xf numFmtId="1" fontId="0" fillId="0" borderId="4" xfId="0" applyNumberFormat="1" applyBorder="1"/>
    <xf numFmtId="1" fontId="0" fillId="0" borderId="7" xfId="0" applyNumberFormat="1" applyBorder="1"/>
    <xf numFmtId="0" fontId="11" fillId="0" borderId="31" xfId="0" applyFont="1" applyBorder="1"/>
    <xf numFmtId="0" fontId="2" fillId="0" borderId="31" xfId="0" applyFont="1" applyBorder="1"/>
    <xf numFmtId="2" fontId="0" fillId="0" borderId="0" xfId="0" applyNumberFormat="1" applyFont="1" applyBorder="1"/>
    <xf numFmtId="1" fontId="0" fillId="0" borderId="0" xfId="0" applyNumberForma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5" fontId="2" fillId="0" borderId="41" xfId="0" applyNumberFormat="1" applyFont="1" applyBorder="1" applyAlignment="1">
      <alignment horizontal="center" vertical="center"/>
    </xf>
    <xf numFmtId="165" fontId="5" fillId="0" borderId="41" xfId="0" applyNumberFormat="1" applyFont="1" applyBorder="1" applyAlignment="1">
      <alignment horizontal="center" vertical="center"/>
    </xf>
    <xf numFmtId="165" fontId="4" fillId="0" borderId="41" xfId="0" applyNumberFormat="1" applyFont="1" applyBorder="1" applyAlignment="1">
      <alignment horizontal="center" vertical="center"/>
    </xf>
    <xf numFmtId="165" fontId="0" fillId="0" borderId="42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5" fontId="11" fillId="0" borderId="6" xfId="0" applyNumberFormat="1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165" fontId="11" fillId="0" borderId="8" xfId="0" applyNumberFormat="1" applyFont="1" applyBorder="1" applyAlignment="1">
      <alignment horizontal="center" vertical="center"/>
    </xf>
    <xf numFmtId="165" fontId="7" fillId="0" borderId="8" xfId="0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3" xfId="0" applyFont="1" applyFill="1" applyBorder="1"/>
    <xf numFmtId="0" fontId="2" fillId="0" borderId="15" xfId="0" applyFont="1" applyBorder="1"/>
    <xf numFmtId="0" fontId="0" fillId="0" borderId="29" xfId="0" applyBorder="1"/>
    <xf numFmtId="0" fontId="2" fillId="2" borderId="48" xfId="0" applyFont="1" applyFill="1" applyBorder="1"/>
    <xf numFmtId="0" fontId="2" fillId="2" borderId="49" xfId="0" applyFont="1" applyFill="1" applyBorder="1"/>
    <xf numFmtId="0" fontId="0" fillId="0" borderId="50" xfId="0" applyBorder="1"/>
    <xf numFmtId="0" fontId="2" fillId="2" borderId="51" xfId="0" applyFont="1" applyFill="1" applyBorder="1"/>
    <xf numFmtId="0" fontId="2" fillId="2" borderId="52" xfId="0" applyFont="1" applyFill="1" applyBorder="1"/>
    <xf numFmtId="0" fontId="0" fillId="0" borderId="53" xfId="0" applyBorder="1"/>
    <xf numFmtId="0" fontId="0" fillId="0" borderId="41" xfId="0" applyBorder="1"/>
    <xf numFmtId="0" fontId="0" fillId="0" borderId="42" xfId="0" applyBorder="1"/>
    <xf numFmtId="0" fontId="2" fillId="2" borderId="54" xfId="0" applyFont="1" applyFill="1" applyBorder="1"/>
    <xf numFmtId="0" fontId="2" fillId="2" borderId="55" xfId="0" applyFont="1" applyFill="1" applyBorder="1"/>
    <xf numFmtId="0" fontId="2" fillId="2" borderId="56" xfId="0" applyFont="1" applyFill="1" applyBorder="1"/>
    <xf numFmtId="0" fontId="2" fillId="2" borderId="57" xfId="0" applyFont="1" applyFill="1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1" fillId="0" borderId="1" xfId="0" applyFont="1" applyBorder="1"/>
    <xf numFmtId="0" fontId="14" fillId="0" borderId="0" xfId="0" applyFont="1" applyAlignment="1">
      <alignment horizontal="right"/>
    </xf>
    <xf numFmtId="0" fontId="0" fillId="0" borderId="61" xfId="0" applyBorder="1"/>
    <xf numFmtId="0" fontId="2" fillId="0" borderId="62" xfId="0" applyFont="1" applyBorder="1"/>
    <xf numFmtId="0" fontId="0" fillId="0" borderId="63" xfId="0" applyBorder="1"/>
    <xf numFmtId="0" fontId="2" fillId="0" borderId="64" xfId="0" applyFont="1" applyBorder="1"/>
    <xf numFmtId="0" fontId="0" fillId="0" borderId="14" xfId="0" applyBorder="1"/>
    <xf numFmtId="0" fontId="2" fillId="0" borderId="16" xfId="0" applyFont="1" applyBorder="1"/>
    <xf numFmtId="0" fontId="0" fillId="0" borderId="65" xfId="0" applyBorder="1"/>
    <xf numFmtId="0" fontId="0" fillId="0" borderId="66" xfId="0" applyBorder="1"/>
    <xf numFmtId="0" fontId="3" fillId="2" borderId="5" xfId="0" applyFont="1" applyFill="1" applyBorder="1"/>
    <xf numFmtId="0" fontId="0" fillId="0" borderId="36" xfId="0" applyFill="1" applyBorder="1"/>
    <xf numFmtId="49" fontId="0" fillId="0" borderId="0" xfId="0" applyNumberFormat="1"/>
    <xf numFmtId="0" fontId="15" fillId="0" borderId="2" xfId="0" applyFont="1" applyBorder="1"/>
    <xf numFmtId="0" fontId="15" fillId="0" borderId="5" xfId="0" applyFont="1" applyBorder="1"/>
    <xf numFmtId="0" fontId="16" fillId="0" borderId="5" xfId="0" applyFont="1" applyFill="1" applyBorder="1"/>
    <xf numFmtId="0" fontId="17" fillId="0" borderId="5" xfId="0" applyFont="1" applyBorder="1"/>
    <xf numFmtId="0" fontId="18" fillId="0" borderId="5" xfId="0" applyFont="1" applyBorder="1"/>
    <xf numFmtId="0" fontId="4" fillId="0" borderId="8" xfId="0" applyFont="1" applyBorder="1"/>
    <xf numFmtId="0" fontId="2" fillId="0" borderId="9" xfId="0" applyFont="1" applyBorder="1"/>
    <xf numFmtId="0" fontId="0" fillId="0" borderId="67" xfId="0" applyBorder="1"/>
    <xf numFmtId="164" fontId="7" fillId="0" borderId="6" xfId="0" applyNumberFormat="1" applyFont="1" applyBorder="1"/>
    <xf numFmtId="164" fontId="6" fillId="0" borderId="6" xfId="0" applyNumberFormat="1" applyFont="1" applyBorder="1"/>
    <xf numFmtId="164" fontId="7" fillId="0" borderId="8" xfId="0" applyNumberFormat="1" applyFont="1" applyBorder="1"/>
    <xf numFmtId="164" fontId="6" fillId="0" borderId="8" xfId="0" applyNumberFormat="1" applyFont="1" applyBorder="1"/>
    <xf numFmtId="0" fontId="0" fillId="0" borderId="3" xfId="0" applyFill="1" applyBorder="1"/>
    <xf numFmtId="0" fontId="1" fillId="0" borderId="0" xfId="0" applyFont="1" applyAlignment="1">
      <alignment horizontal="left"/>
    </xf>
    <xf numFmtId="170" fontId="0" fillId="0" borderId="5" xfId="0" applyNumberFormat="1" applyBorder="1"/>
    <xf numFmtId="165" fontId="11" fillId="0" borderId="5" xfId="0" applyNumberFormat="1" applyFont="1" applyBorder="1"/>
    <xf numFmtId="165" fontId="7" fillId="0" borderId="5" xfId="0" applyNumberFormat="1" applyFont="1" applyBorder="1"/>
    <xf numFmtId="165" fontId="4" fillId="0" borderId="5" xfId="0" applyNumberFormat="1" applyFont="1" applyBorder="1"/>
    <xf numFmtId="0" fontId="0" fillId="0" borderId="2" xfId="0" applyFill="1" applyBorder="1"/>
    <xf numFmtId="2" fontId="11" fillId="0" borderId="5" xfId="0" applyNumberFormat="1" applyFont="1" applyBorder="1"/>
    <xf numFmtId="2" fontId="7" fillId="0" borderId="5" xfId="0" applyNumberFormat="1" applyFont="1" applyBorder="1"/>
    <xf numFmtId="2" fontId="4" fillId="0" borderId="5" xfId="0" applyNumberFormat="1" applyFont="1" applyBorder="1"/>
    <xf numFmtId="2" fontId="11" fillId="0" borderId="8" xfId="0" applyNumberFormat="1" applyFont="1" applyBorder="1"/>
    <xf numFmtId="2" fontId="7" fillId="0" borderId="8" xfId="0" applyNumberFormat="1" applyFont="1" applyBorder="1"/>
    <xf numFmtId="2" fontId="4" fillId="0" borderId="8" xfId="0" applyNumberFormat="1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68" xfId="0" applyFill="1" applyBorder="1"/>
    <xf numFmtId="2" fontId="1" fillId="0" borderId="5" xfId="0" applyNumberFormat="1" applyFont="1" applyBorder="1"/>
    <xf numFmtId="2" fontId="1" fillId="0" borderId="6" xfId="0" applyNumberFormat="1" applyFont="1" applyBorder="1"/>
    <xf numFmtId="2" fontId="0" fillId="0" borderId="6" xfId="0" applyNumberFormat="1" applyBorder="1"/>
    <xf numFmtId="2" fontId="5" fillId="0" borderId="8" xfId="0" applyNumberFormat="1" applyFont="1" applyBorder="1"/>
    <xf numFmtId="2" fontId="19" fillId="0" borderId="8" xfId="0" applyNumberFormat="1" applyFont="1" applyBorder="1"/>
    <xf numFmtId="2" fontId="20" fillId="0" borderId="8" xfId="0" applyNumberFormat="1" applyFont="1" applyBorder="1"/>
    <xf numFmtId="2" fontId="0" fillId="0" borderId="9" xfId="0" applyNumberFormat="1" applyBorder="1"/>
    <xf numFmtId="2" fontId="5" fillId="0" borderId="6" xfId="0" applyNumberFormat="1" applyFont="1" applyBorder="1"/>
    <xf numFmtId="2" fontId="2" fillId="0" borderId="6" xfId="0" applyNumberFormat="1" applyFont="1" applyBorder="1"/>
    <xf numFmtId="2" fontId="6" fillId="0" borderId="6" xfId="0" applyNumberFormat="1" applyFont="1" applyBorder="1"/>
    <xf numFmtId="2" fontId="20" fillId="0" borderId="9" xfId="0" applyNumberFormat="1" applyFont="1" applyBorder="1"/>
    <xf numFmtId="2" fontId="0" fillId="0" borderId="53" xfId="0" applyNumberFormat="1" applyBorder="1"/>
    <xf numFmtId="0" fontId="2" fillId="0" borderId="53" xfId="0" applyFont="1" applyBorder="1"/>
    <xf numFmtId="2" fontId="2" fillId="0" borderId="53" xfId="0" applyNumberFormat="1" applyFont="1" applyBorder="1"/>
    <xf numFmtId="2" fontId="0" fillId="0" borderId="41" xfId="0" applyNumberFormat="1" applyBorder="1"/>
    <xf numFmtId="0" fontId="6" fillId="0" borderId="41" xfId="0" applyFont="1" applyBorder="1"/>
    <xf numFmtId="2" fontId="6" fillId="0" borderId="41" xfId="0" applyNumberFormat="1" applyFont="1" applyBorder="1"/>
    <xf numFmtId="0" fontId="0" fillId="0" borderId="67" xfId="0" applyFont="1" applyBorder="1"/>
    <xf numFmtId="0" fontId="0" fillId="0" borderId="42" xfId="0" applyFont="1" applyBorder="1"/>
    <xf numFmtId="0" fontId="22" fillId="0" borderId="2" xfId="0" applyFont="1" applyBorder="1"/>
    <xf numFmtId="0" fontId="22" fillId="0" borderId="3" xfId="0" applyFont="1" applyBorder="1"/>
    <xf numFmtId="2" fontId="11" fillId="0" borderId="6" xfId="0" applyNumberFormat="1" applyFont="1" applyBorder="1"/>
    <xf numFmtId="2" fontId="23" fillId="0" borderId="6" xfId="0" applyNumberFormat="1" applyFont="1" applyBorder="1"/>
    <xf numFmtId="2" fontId="24" fillId="0" borderId="6" xfId="0" applyNumberFormat="1" applyFont="1" applyBorder="1"/>
    <xf numFmtId="0" fontId="23" fillId="0" borderId="2" xfId="0" applyFont="1" applyBorder="1"/>
    <xf numFmtId="2" fontId="23" fillId="0" borderId="2" xfId="0" applyNumberFormat="1" applyFont="1" applyBorder="1"/>
    <xf numFmtId="0" fontId="24" fillId="0" borderId="8" xfId="0" applyFont="1" applyBorder="1"/>
    <xf numFmtId="2" fontId="24" fillId="0" borderId="8" xfId="0" applyNumberFormat="1" applyFont="1" applyBorder="1"/>
    <xf numFmtId="2" fontId="4" fillId="0" borderId="6" xfId="0" applyNumberFormat="1" applyFont="1" applyBorder="1"/>
    <xf numFmtId="2" fontId="2" fillId="0" borderId="8" xfId="0" applyNumberFormat="1" applyFont="1" applyBorder="1"/>
    <xf numFmtId="2" fontId="7" fillId="0" borderId="9" xfId="0" applyNumberFormat="1" applyFont="1" applyBorder="1"/>
    <xf numFmtId="2" fontId="6" fillId="0" borderId="5" xfId="0" applyNumberFormat="1" applyFont="1" applyBorder="1"/>
    <xf numFmtId="2" fontId="25" fillId="0" borderId="5" xfId="0" applyNumberFormat="1" applyFont="1" applyBorder="1"/>
    <xf numFmtId="2" fontId="8" fillId="0" borderId="6" xfId="0" applyNumberFormat="1" applyFont="1" applyBorder="1"/>
    <xf numFmtId="2" fontId="8" fillId="0" borderId="8" xfId="0" applyNumberFormat="1" applyFont="1" applyBorder="1"/>
    <xf numFmtId="2" fontId="26" fillId="0" borderId="6" xfId="0" applyNumberFormat="1" applyFont="1" applyBorder="1"/>
    <xf numFmtId="2" fontId="26" fillId="0" borderId="8" xfId="0" applyNumberFormat="1" applyFont="1" applyBorder="1"/>
    <xf numFmtId="0" fontId="15" fillId="0" borderId="0" xfId="0" applyFont="1" applyBorder="1"/>
    <xf numFmtId="0" fontId="16" fillId="0" borderId="0" xfId="0" applyFont="1" applyFill="1" applyBorder="1"/>
    <xf numFmtId="0" fontId="17" fillId="0" borderId="0" xfId="0" applyFont="1" applyBorder="1"/>
    <xf numFmtId="0" fontId="18" fillId="0" borderId="0" xfId="0" applyFont="1" applyBorder="1"/>
    <xf numFmtId="164" fontId="7" fillId="0" borderId="0" xfId="0" applyNumberFormat="1" applyFont="1" applyBorder="1"/>
    <xf numFmtId="164" fontId="6" fillId="0" borderId="0" xfId="0" applyNumberFormat="1" applyFont="1" applyBorder="1"/>
    <xf numFmtId="0" fontId="0" fillId="0" borderId="36" xfId="0" applyBorder="1" applyAlignment="1">
      <alignment horizontal="center" vertical="center" wrapText="1"/>
    </xf>
    <xf numFmtId="0" fontId="1" fillId="0" borderId="2" xfId="0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0" fontId="0" fillId="0" borderId="5" xfId="0" applyNumberFormat="1" applyBorder="1"/>
    <xf numFmtId="0" fontId="1" fillId="0" borderId="5" xfId="0" applyFont="1" applyBorder="1"/>
    <xf numFmtId="10" fontId="0" fillId="0" borderId="6" xfId="0" applyNumberFormat="1" applyBorder="1"/>
    <xf numFmtId="0" fontId="0" fillId="0" borderId="5" xfId="0" applyFill="1" applyBorder="1"/>
    <xf numFmtId="10" fontId="0" fillId="0" borderId="8" xfId="0" applyNumberFormat="1" applyBorder="1"/>
    <xf numFmtId="0" fontId="0" fillId="0" borderId="8" xfId="0" applyFill="1" applyBorder="1"/>
    <xf numFmtId="10" fontId="0" fillId="0" borderId="9" xfId="0" applyNumberFormat="1" applyBorder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0" xfId="0" applyFont="1"/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27" fillId="0" borderId="1" xfId="0" applyFont="1" applyBorder="1" applyAlignment="1">
      <alignment horizontal="center" wrapText="1"/>
    </xf>
    <xf numFmtId="0" fontId="27" fillId="0" borderId="2" xfId="0" applyFont="1" applyBorder="1" applyAlignment="1">
      <alignment horizontal="center" wrapText="1"/>
    </xf>
    <xf numFmtId="0" fontId="27" fillId="0" borderId="3" xfId="0" applyFont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21" fillId="0" borderId="21" xfId="0" applyFont="1" applyFill="1" applyBorder="1" applyAlignment="1">
      <alignment horizontal="center"/>
    </xf>
    <xf numFmtId="0" fontId="21" fillId="0" borderId="45" xfId="0" applyFont="1" applyFill="1" applyBorder="1" applyAlignment="1">
      <alignment horizontal="center"/>
    </xf>
    <xf numFmtId="0" fontId="29" fillId="0" borderId="38" xfId="0" applyFont="1" applyBorder="1" applyAlignment="1">
      <alignment horizontal="center"/>
    </xf>
    <xf numFmtId="0" fontId="29" fillId="0" borderId="39" xfId="0" applyFont="1" applyBorder="1" applyAlignment="1">
      <alignment horizontal="center"/>
    </xf>
    <xf numFmtId="0" fontId="29" fillId="0" borderId="40" xfId="0" applyFont="1" applyBorder="1" applyAlignment="1">
      <alignment horizontal="center"/>
    </xf>
    <xf numFmtId="0" fontId="28" fillId="0" borderId="35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8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/>
            </a:pPr>
            <a:r>
              <a:rPr lang="ru-RU" sz="1200"/>
              <a:t>Кривая</a:t>
            </a:r>
            <a:r>
              <a:rPr lang="ru-RU" sz="1200" baseline="0"/>
              <a:t> трансформирования в плоскостях (</a:t>
            </a:r>
            <a:r>
              <a:rPr lang="en-US" sz="1200" baseline="0"/>
              <a:t>y;x).</a:t>
            </a:r>
            <a:endParaRPr lang="ru-RU" sz="1200"/>
          </a:p>
        </c:rich>
      </c:tx>
    </c:title>
    <c:plotArea>
      <c:layout>
        <c:manualLayout>
          <c:layoutTarget val="inner"/>
          <c:xMode val="edge"/>
          <c:yMode val="edge"/>
          <c:x val="0.10596041119860017"/>
          <c:y val="0.16797462817147871"/>
          <c:w val="0.82649781277341605"/>
          <c:h val="0.66681284631089655"/>
        </c:manualLayout>
      </c:layout>
      <c:scatterChart>
        <c:scatterStyle val="smoothMarker"/>
        <c:ser>
          <c:idx val="0"/>
          <c:order val="0"/>
          <c:tx>
            <c:strRef>
              <c:f>QwaziSolution!$C$75</c:f>
              <c:strCache>
                <c:ptCount val="1"/>
                <c:pt idx="0">
                  <c:v>x1(y)</c:v>
                </c:pt>
              </c:strCache>
            </c:strRef>
          </c:tx>
          <c:xVal>
            <c:numRef>
              <c:f>QwaziSolution!$D$64:$D$72</c:f>
              <c:numCache>
                <c:formatCode>General</c:formatCode>
                <c:ptCount val="9"/>
                <c:pt idx="0">
                  <c:v>1.2975047984644914</c:v>
                </c:pt>
                <c:pt idx="1">
                  <c:v>1.2007104795737122</c:v>
                </c:pt>
                <c:pt idx="2">
                  <c:v>1.1173553719008265</c:v>
                </c:pt>
                <c:pt idx="3">
                  <c:v>1.044822256568779</c:v>
                </c:pt>
                <c:pt idx="4">
                  <c:v>0.98113207547169812</c:v>
                </c:pt>
                <c:pt idx="5">
                  <c:v>0.92476060191518461</c:v>
                </c:pt>
                <c:pt idx="6">
                  <c:v>0.87451487710219933</c:v>
                </c:pt>
                <c:pt idx="7">
                  <c:v>0.82944785276073618</c:v>
                </c:pt>
                <c:pt idx="8">
                  <c:v>0.80861244019138756</c:v>
                </c:pt>
              </c:numCache>
            </c:numRef>
          </c:xVal>
          <c:yVal>
            <c:numRef>
              <c:f>QwaziSolution!$E$64:$E$72</c:f>
              <c:numCache>
                <c:formatCode>General</c:formatCode>
                <c:ptCount val="9"/>
                <c:pt idx="0">
                  <c:v>0</c:v>
                </c:pt>
                <c:pt idx="1">
                  <c:v>0.24014209591474245</c:v>
                </c:pt>
                <c:pt idx="2">
                  <c:v>0.44694214876033062</c:v>
                </c:pt>
                <c:pt idx="3">
                  <c:v>0.62689335394126744</c:v>
                </c:pt>
                <c:pt idx="4">
                  <c:v>0.78490566037735854</c:v>
                </c:pt>
                <c:pt idx="5">
                  <c:v>0.92476060191518461</c:v>
                </c:pt>
                <c:pt idx="6">
                  <c:v>1.0494178525226392</c:v>
                </c:pt>
                <c:pt idx="7">
                  <c:v>1.1612269938650306</c:v>
                </c:pt>
                <c:pt idx="8">
                  <c:v>1.2129186602870814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QwaziSolution!$C$76</c:f>
              <c:strCache>
                <c:ptCount val="1"/>
                <c:pt idx="0">
                  <c:v>x2(y)</c:v>
                </c:pt>
              </c:strCache>
            </c:strRef>
          </c:tx>
          <c:xVal>
            <c:numRef>
              <c:f>QwaziSolution!$D$64:$D$72</c:f>
              <c:numCache>
                <c:formatCode>General</c:formatCode>
                <c:ptCount val="9"/>
                <c:pt idx="0">
                  <c:v>1.2975047984644914</c:v>
                </c:pt>
                <c:pt idx="1">
                  <c:v>1.2007104795737122</c:v>
                </c:pt>
                <c:pt idx="2">
                  <c:v>1.1173553719008265</c:v>
                </c:pt>
                <c:pt idx="3">
                  <c:v>1.044822256568779</c:v>
                </c:pt>
                <c:pt idx="4">
                  <c:v>0.98113207547169812</c:v>
                </c:pt>
                <c:pt idx="5">
                  <c:v>0.92476060191518461</c:v>
                </c:pt>
                <c:pt idx="6">
                  <c:v>0.87451487710219933</c:v>
                </c:pt>
                <c:pt idx="7">
                  <c:v>0.82944785276073618</c:v>
                </c:pt>
                <c:pt idx="8">
                  <c:v>0.80861244019138756</c:v>
                </c:pt>
              </c:numCache>
            </c:numRef>
          </c:xVal>
          <c:yVal>
            <c:numRef>
              <c:f>QwaziSolution!$F$64:$F$72</c:f>
              <c:numCache>
                <c:formatCode>General</c:formatCode>
                <c:ptCount val="9"/>
                <c:pt idx="0">
                  <c:v>1.2666118270724798</c:v>
                </c:pt>
                <c:pt idx="1">
                  <c:v>1.1721221348219573</c:v>
                </c:pt>
                <c:pt idx="2">
                  <c:v>1.0907516725698543</c:v>
                </c:pt>
                <c:pt idx="3">
                  <c:v>1.0199455361742842</c:v>
                </c:pt>
                <c:pt idx="4">
                  <c:v>0.95777178796046714</c:v>
                </c:pt>
                <c:pt idx="5">
                  <c:v>0.90274249234577542</c:v>
                </c:pt>
                <c:pt idx="6">
                  <c:v>0.85369309431405171</c:v>
                </c:pt>
                <c:pt idx="7">
                  <c:v>0.80969909436167098</c:v>
                </c:pt>
                <c:pt idx="8">
                  <c:v>0.78935976304397359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QwaziSolution!$C$77</c:f>
              <c:strCache>
                <c:ptCount val="1"/>
                <c:pt idx="0">
                  <c:v>x3(y)</c:v>
                </c:pt>
              </c:strCache>
            </c:strRef>
          </c:tx>
          <c:xVal>
            <c:numRef>
              <c:f>QwaziSolution!$D$64:$D$72</c:f>
              <c:numCache>
                <c:formatCode>General</c:formatCode>
                <c:ptCount val="9"/>
                <c:pt idx="0">
                  <c:v>1.2975047984644914</c:v>
                </c:pt>
                <c:pt idx="1">
                  <c:v>1.2007104795737122</c:v>
                </c:pt>
                <c:pt idx="2">
                  <c:v>1.1173553719008265</c:v>
                </c:pt>
                <c:pt idx="3">
                  <c:v>1.044822256568779</c:v>
                </c:pt>
                <c:pt idx="4">
                  <c:v>0.98113207547169812</c:v>
                </c:pt>
                <c:pt idx="5">
                  <c:v>0.92476060191518461</c:v>
                </c:pt>
                <c:pt idx="6">
                  <c:v>0.87451487710219933</c:v>
                </c:pt>
                <c:pt idx="7">
                  <c:v>0.82944785276073618</c:v>
                </c:pt>
                <c:pt idx="8">
                  <c:v>0.80861244019138756</c:v>
                </c:pt>
              </c:numCache>
            </c:numRef>
          </c:xVal>
          <c:yVal>
            <c:numRef>
              <c:f>QwaziSolution!$G$64:$G$72</c:f>
              <c:numCache>
                <c:formatCode>General</c:formatCode>
                <c:ptCount val="9"/>
                <c:pt idx="0">
                  <c:v>0.17347591627821904</c:v>
                </c:pt>
                <c:pt idx="1">
                  <c:v>0.8994333079590624</c:v>
                </c:pt>
                <c:pt idx="2">
                  <c:v>1.5245966155057062</c:v>
                </c:pt>
                <c:pt idx="3">
                  <c:v>2.0685949804960622</c:v>
                </c:pt>
                <c:pt idx="4">
                  <c:v>2.5462713387241691</c:v>
                </c:pt>
                <c:pt idx="5">
                  <c:v>2.9690573903980195</c:v>
                </c:pt>
                <c:pt idx="6">
                  <c:v>3.3459003264954101</c:v>
                </c:pt>
                <c:pt idx="7">
                  <c:v>3.6839030090563836</c:v>
                </c:pt>
                <c:pt idx="8">
                  <c:v>3.8401686033264979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QwaziSolution!$C$78</c:f>
              <c:strCache>
                <c:ptCount val="1"/>
                <c:pt idx="0">
                  <c:v>x(y)</c:v>
                </c:pt>
              </c:strCache>
            </c:strRef>
          </c:tx>
          <c:xVal>
            <c:numRef>
              <c:f>QwaziSolution!$D$64:$D$72</c:f>
              <c:numCache>
                <c:formatCode>General</c:formatCode>
                <c:ptCount val="9"/>
                <c:pt idx="0">
                  <c:v>1.2975047984644914</c:v>
                </c:pt>
                <c:pt idx="1">
                  <c:v>1.2007104795737122</c:v>
                </c:pt>
                <c:pt idx="2">
                  <c:v>1.1173553719008265</c:v>
                </c:pt>
                <c:pt idx="3">
                  <c:v>1.044822256568779</c:v>
                </c:pt>
                <c:pt idx="4">
                  <c:v>0.98113207547169812</c:v>
                </c:pt>
                <c:pt idx="5">
                  <c:v>0.92476060191518461</c:v>
                </c:pt>
                <c:pt idx="6">
                  <c:v>0.87451487710219933</c:v>
                </c:pt>
                <c:pt idx="7">
                  <c:v>0.82944785276073618</c:v>
                </c:pt>
                <c:pt idx="8">
                  <c:v>0.80861244019138756</c:v>
                </c:pt>
              </c:numCache>
            </c:numRef>
          </c:xVal>
          <c:yVal>
            <c:numRef>
              <c:f>QwaziSolution!$H$64:$H$72</c:f>
              <c:numCache>
                <c:formatCode>General</c:formatCode>
                <c:ptCount val="9"/>
                <c:pt idx="0">
                  <c:v>0.52399232245681382</c:v>
                </c:pt>
                <c:pt idx="1">
                  <c:v>0.6788632326820605</c:v>
                </c:pt>
                <c:pt idx="2">
                  <c:v>0.81223140495867774</c:v>
                </c:pt>
                <c:pt idx="3">
                  <c:v>0.92828438948995373</c:v>
                </c:pt>
                <c:pt idx="4">
                  <c:v>1.030188679245283</c:v>
                </c:pt>
                <c:pt idx="5">
                  <c:v>1.1203830369357046</c:v>
                </c:pt>
                <c:pt idx="6">
                  <c:v>1.2007761966364814</c:v>
                </c:pt>
                <c:pt idx="7">
                  <c:v>1.2728834355828222</c:v>
                </c:pt>
                <c:pt idx="8">
                  <c:v>1.3062200956937799</c:v>
                </c:pt>
              </c:numCache>
            </c:numRef>
          </c:yVal>
          <c:smooth val="1"/>
        </c:ser>
        <c:axId val="84179968"/>
        <c:axId val="84198912"/>
      </c:scatterChart>
      <c:valAx>
        <c:axId val="84179968"/>
        <c:scaling>
          <c:orientation val="minMax"/>
          <c:min val="0.60000000000000064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y</a:t>
                </a:r>
                <a:endParaRPr lang="ru-RU" sz="1200"/>
              </a:p>
            </c:rich>
          </c:tx>
          <c:layout>
            <c:manualLayout>
              <c:xMode val="edge"/>
              <c:yMode val="edge"/>
              <c:x val="0.88485498687663156"/>
              <c:y val="0.75831000291630213"/>
            </c:manualLayout>
          </c:layout>
        </c:title>
        <c:numFmt formatCode="General" sourceLinked="1"/>
        <c:majorTickMark val="none"/>
        <c:tickLblPos val="nextTo"/>
        <c:crossAx val="84198912"/>
        <c:crosses val="autoZero"/>
        <c:crossBetween val="midCat"/>
      </c:valAx>
      <c:valAx>
        <c:axId val="84198912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x</a:t>
                </a:r>
                <a:endParaRPr lang="ru-RU" sz="1200"/>
              </a:p>
            </c:rich>
          </c:tx>
          <c:layout>
            <c:manualLayout>
              <c:xMode val="edge"/>
              <c:yMode val="edge"/>
              <c:x val="0.11280533683289438"/>
              <c:y val="0.16525809273840791"/>
            </c:manualLayout>
          </c:layout>
        </c:title>
        <c:numFmt formatCode="General" sourceLinked="1"/>
        <c:majorTickMark val="none"/>
        <c:tickLblPos val="nextTo"/>
        <c:crossAx val="841799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6948600174978121"/>
          <c:y val="0.16971821230679807"/>
          <c:w val="0.13884733158355445"/>
          <c:h val="0.33486876640421243"/>
        </c:manualLayout>
      </c:layout>
    </c:legend>
    <c:plotVisOnly val="1"/>
  </c:chart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/>
            </a:pPr>
            <a:r>
              <a:rPr lang="ru-RU" sz="1200"/>
              <a:t>Кривая</a:t>
            </a:r>
            <a:r>
              <a:rPr lang="ru-RU" sz="1200" baseline="0"/>
              <a:t> трансформирования в параметрическом виде.</a:t>
            </a:r>
            <a:endParaRPr lang="ru-RU" sz="1200"/>
          </a:p>
        </c:rich>
      </c:tx>
    </c:title>
    <c:plotArea>
      <c:layout>
        <c:manualLayout>
          <c:layoutTarget val="inner"/>
          <c:xMode val="edge"/>
          <c:yMode val="edge"/>
          <c:x val="9.6974409448818966E-2"/>
          <c:y val="0.22871536891221941"/>
          <c:w val="0.85187292213473365"/>
          <c:h val="0.59218321668124818"/>
        </c:manualLayout>
      </c:layout>
      <c:scatterChart>
        <c:scatterStyle val="smoothMarker"/>
        <c:ser>
          <c:idx val="0"/>
          <c:order val="0"/>
          <c:tx>
            <c:strRef>
              <c:f>QwaziSolution!$E$79</c:f>
              <c:strCache>
                <c:ptCount val="1"/>
                <c:pt idx="0">
                  <c:v>y(t1)</c:v>
                </c:pt>
              </c:strCache>
            </c:strRef>
          </c:tx>
          <c:xVal>
            <c:numRef>
              <c:f>QwaziSolution!$B$64:$B$72</c:f>
              <c:numCache>
                <c:formatCode>General</c:formatCode>
                <c:ptCount val="9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</c:v>
                </c:pt>
              </c:numCache>
            </c:numRef>
          </c:xVal>
          <c:yVal>
            <c:numRef>
              <c:f>QwaziSolution!$D$64:$D$72</c:f>
              <c:numCache>
                <c:formatCode>General</c:formatCode>
                <c:ptCount val="9"/>
                <c:pt idx="0">
                  <c:v>1.2975047984644914</c:v>
                </c:pt>
                <c:pt idx="1">
                  <c:v>1.2007104795737122</c:v>
                </c:pt>
                <c:pt idx="2">
                  <c:v>1.1173553719008265</c:v>
                </c:pt>
                <c:pt idx="3">
                  <c:v>1.044822256568779</c:v>
                </c:pt>
                <c:pt idx="4">
                  <c:v>0.98113207547169812</c:v>
                </c:pt>
                <c:pt idx="5">
                  <c:v>0.92476060191518461</c:v>
                </c:pt>
                <c:pt idx="6">
                  <c:v>0.87451487710219933</c:v>
                </c:pt>
                <c:pt idx="7">
                  <c:v>0.82944785276073618</c:v>
                </c:pt>
                <c:pt idx="8">
                  <c:v>0.80861244019138756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QwaziSolution!$E$75</c:f>
              <c:strCache>
                <c:ptCount val="1"/>
                <c:pt idx="0">
                  <c:v>x1(t1)</c:v>
                </c:pt>
              </c:strCache>
            </c:strRef>
          </c:tx>
          <c:xVal>
            <c:numRef>
              <c:f>QwaziSolution!$B$64:$B$72</c:f>
              <c:numCache>
                <c:formatCode>General</c:formatCode>
                <c:ptCount val="9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</c:v>
                </c:pt>
              </c:numCache>
            </c:numRef>
          </c:xVal>
          <c:yVal>
            <c:numRef>
              <c:f>QwaziSolution!$E$64:$E$72</c:f>
              <c:numCache>
                <c:formatCode>General</c:formatCode>
                <c:ptCount val="9"/>
                <c:pt idx="0">
                  <c:v>0</c:v>
                </c:pt>
                <c:pt idx="1">
                  <c:v>0.24014209591474245</c:v>
                </c:pt>
                <c:pt idx="2">
                  <c:v>0.44694214876033062</c:v>
                </c:pt>
                <c:pt idx="3">
                  <c:v>0.62689335394126744</c:v>
                </c:pt>
                <c:pt idx="4">
                  <c:v>0.78490566037735854</c:v>
                </c:pt>
                <c:pt idx="5">
                  <c:v>0.92476060191518461</c:v>
                </c:pt>
                <c:pt idx="6">
                  <c:v>1.0494178525226392</c:v>
                </c:pt>
                <c:pt idx="7">
                  <c:v>1.1612269938650306</c:v>
                </c:pt>
                <c:pt idx="8">
                  <c:v>1.2129186602870814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QwaziSolution!$E$76</c:f>
              <c:strCache>
                <c:ptCount val="1"/>
                <c:pt idx="0">
                  <c:v>x2(t1)</c:v>
                </c:pt>
              </c:strCache>
            </c:strRef>
          </c:tx>
          <c:xVal>
            <c:numRef>
              <c:f>QwaziSolution!$B$64:$B$72</c:f>
              <c:numCache>
                <c:formatCode>General</c:formatCode>
                <c:ptCount val="9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</c:v>
                </c:pt>
              </c:numCache>
            </c:numRef>
          </c:xVal>
          <c:yVal>
            <c:numRef>
              <c:f>QwaziSolution!$F$64:$F$72</c:f>
              <c:numCache>
                <c:formatCode>General</c:formatCode>
                <c:ptCount val="9"/>
                <c:pt idx="0">
                  <c:v>1.2666118270724798</c:v>
                </c:pt>
                <c:pt idx="1">
                  <c:v>1.1721221348219573</c:v>
                </c:pt>
                <c:pt idx="2">
                  <c:v>1.0907516725698543</c:v>
                </c:pt>
                <c:pt idx="3">
                  <c:v>1.0199455361742842</c:v>
                </c:pt>
                <c:pt idx="4">
                  <c:v>0.95777178796046714</c:v>
                </c:pt>
                <c:pt idx="5">
                  <c:v>0.90274249234577542</c:v>
                </c:pt>
                <c:pt idx="6">
                  <c:v>0.85369309431405171</c:v>
                </c:pt>
                <c:pt idx="7">
                  <c:v>0.80969909436167098</c:v>
                </c:pt>
                <c:pt idx="8">
                  <c:v>0.78935976304397359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QwaziSolution!$E$77</c:f>
              <c:strCache>
                <c:ptCount val="1"/>
                <c:pt idx="0">
                  <c:v>x3(t1)</c:v>
                </c:pt>
              </c:strCache>
            </c:strRef>
          </c:tx>
          <c:xVal>
            <c:numRef>
              <c:f>QwaziSolution!$B$64:$B$72</c:f>
              <c:numCache>
                <c:formatCode>General</c:formatCode>
                <c:ptCount val="9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</c:v>
                </c:pt>
              </c:numCache>
            </c:numRef>
          </c:xVal>
          <c:yVal>
            <c:numRef>
              <c:f>QwaziSolution!$G$64:$G$72</c:f>
              <c:numCache>
                <c:formatCode>General</c:formatCode>
                <c:ptCount val="9"/>
                <c:pt idx="0">
                  <c:v>0.17347591627821904</c:v>
                </c:pt>
                <c:pt idx="1">
                  <c:v>0.8994333079590624</c:v>
                </c:pt>
                <c:pt idx="2">
                  <c:v>1.5245966155057062</c:v>
                </c:pt>
                <c:pt idx="3">
                  <c:v>2.0685949804960622</c:v>
                </c:pt>
                <c:pt idx="4">
                  <c:v>2.5462713387241691</c:v>
                </c:pt>
                <c:pt idx="5">
                  <c:v>2.9690573903980195</c:v>
                </c:pt>
                <c:pt idx="6">
                  <c:v>3.3459003264954101</c:v>
                </c:pt>
                <c:pt idx="7">
                  <c:v>3.6839030090563836</c:v>
                </c:pt>
                <c:pt idx="8">
                  <c:v>3.8401686033264979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QwaziSolution!$E$78</c:f>
              <c:strCache>
                <c:ptCount val="1"/>
                <c:pt idx="0">
                  <c:v>x(t1)</c:v>
                </c:pt>
              </c:strCache>
            </c:strRef>
          </c:tx>
          <c:xVal>
            <c:numRef>
              <c:f>QwaziSolution!$B$64:$B$72</c:f>
              <c:numCache>
                <c:formatCode>General</c:formatCode>
                <c:ptCount val="9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</c:v>
                </c:pt>
              </c:numCache>
            </c:numRef>
          </c:xVal>
          <c:yVal>
            <c:numRef>
              <c:f>QwaziSolution!$H$64:$H$72</c:f>
              <c:numCache>
                <c:formatCode>General</c:formatCode>
                <c:ptCount val="9"/>
                <c:pt idx="0">
                  <c:v>0.52399232245681382</c:v>
                </c:pt>
                <c:pt idx="1">
                  <c:v>0.6788632326820605</c:v>
                </c:pt>
                <c:pt idx="2">
                  <c:v>0.81223140495867774</c:v>
                </c:pt>
                <c:pt idx="3">
                  <c:v>0.92828438948995373</c:v>
                </c:pt>
                <c:pt idx="4">
                  <c:v>1.030188679245283</c:v>
                </c:pt>
                <c:pt idx="5">
                  <c:v>1.1203830369357046</c:v>
                </c:pt>
                <c:pt idx="6">
                  <c:v>1.2007761966364814</c:v>
                </c:pt>
                <c:pt idx="7">
                  <c:v>1.2728834355828222</c:v>
                </c:pt>
                <c:pt idx="8">
                  <c:v>1.3062200956937799</c:v>
                </c:pt>
              </c:numCache>
            </c:numRef>
          </c:yVal>
          <c:smooth val="1"/>
        </c:ser>
        <c:axId val="83591936"/>
        <c:axId val="83593856"/>
      </c:scatterChart>
      <c:valAx>
        <c:axId val="83591936"/>
        <c:scaling>
          <c:orientation val="minMax"/>
          <c:max val="1.8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Параметр,</a:t>
                </a:r>
                <a:r>
                  <a:rPr lang="ru-RU" baseline="0"/>
                  <a:t> </a:t>
                </a:r>
                <a:r>
                  <a:rPr lang="en-US" baseline="0"/>
                  <a:t>t1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65993853893263343"/>
              <c:y val="0.75831000291630213"/>
            </c:manualLayout>
          </c:layout>
        </c:title>
        <c:numFmt formatCode="General" sourceLinked="1"/>
        <c:majorTickMark val="none"/>
        <c:tickLblPos val="nextTo"/>
        <c:crossAx val="83593856"/>
        <c:crosses val="autoZero"/>
        <c:crossBetween val="midCat"/>
      </c:valAx>
      <c:valAx>
        <c:axId val="83593856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1100"/>
                </a:pPr>
                <a:r>
                  <a:rPr lang="ru-RU" sz="1100"/>
                  <a:t>Переменные</a:t>
                </a:r>
                <a:r>
                  <a:rPr lang="ru-RU" sz="1100" baseline="0"/>
                  <a:t> </a:t>
                </a:r>
                <a:r>
                  <a:rPr lang="en-US" sz="1100" baseline="0"/>
                  <a:t>x; y.</a:t>
                </a:r>
                <a:endParaRPr lang="ru-RU" sz="1100"/>
              </a:p>
            </c:rich>
          </c:tx>
          <c:layout>
            <c:manualLayout>
              <c:xMode val="edge"/>
              <c:yMode val="edge"/>
              <c:x val="0.19722222222222224"/>
              <c:y val="0.21830234762321379"/>
            </c:manualLayout>
          </c:layout>
        </c:title>
        <c:numFmt formatCode="General" sourceLinked="1"/>
        <c:majorTickMark val="none"/>
        <c:tickLblPos val="nextTo"/>
        <c:crossAx val="8359193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900"/>
            </a:pPr>
            <a:r>
              <a:rPr lang="ru-RU" sz="900"/>
              <a:t>Зависимость</a:t>
            </a:r>
            <a:r>
              <a:rPr lang="ru-RU" sz="900" baseline="0"/>
              <a:t> нормы прибыли от нормы прибавочной стоимости при разных структурах выбора нормирующих констант случайных равномерных распределений для элементов матриц </a:t>
            </a:r>
            <a:r>
              <a:rPr lang="en-US" sz="900" baseline="0"/>
              <a:t>A11; A12; A13; A21; A22; A23</a:t>
            </a:r>
            <a:endParaRPr lang="ru-RU" sz="900"/>
          </a:p>
        </c:rich>
      </c:tx>
    </c:title>
    <c:plotArea>
      <c:layout>
        <c:manualLayout>
          <c:layoutTarget val="inner"/>
          <c:xMode val="edge"/>
          <c:yMode val="edge"/>
          <c:x val="0.11429396325459319"/>
          <c:y val="0.31038203557889238"/>
          <c:w val="0.82597134733159361"/>
          <c:h val="0.54755358705160895"/>
        </c:manualLayout>
      </c:layout>
      <c:scatterChart>
        <c:scatterStyle val="lineMarker"/>
        <c:ser>
          <c:idx val="0"/>
          <c:order val="0"/>
          <c:tx>
            <c:strRef>
              <c:f>MatrixExamplesMathematica!$BA$35</c:f>
              <c:strCache>
                <c:ptCount val="1"/>
                <c:pt idx="0">
                  <c:v>Структура-1</c:v>
                </c:pt>
              </c:strCache>
            </c:strRef>
          </c:tx>
          <c:spPr>
            <a:ln w="28575">
              <a:noFill/>
            </a:ln>
          </c:spPr>
          <c:trendline>
            <c:spPr>
              <a:ln w="19050">
                <a:solidFill>
                  <a:schemeClr val="accent1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-0.41545319335083641"/>
                  <c:y val="0.1757290755322283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b="1" baseline="0"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</c:trendlineLbl>
          </c:trendline>
          <c:xVal>
            <c:numRef>
              <c:f>MatrixExamplesMathematica!$AX$35:$AX$66</c:f>
              <c:numCache>
                <c:formatCode>General</c:formatCode>
                <c:ptCount val="32"/>
                <c:pt idx="0">
                  <c:v>0.16188226966433245</c:v>
                </c:pt>
                <c:pt idx="1">
                  <c:v>0.15958685771338141</c:v>
                </c:pt>
                <c:pt idx="2">
                  <c:v>0.15800586106792514</c:v>
                </c:pt>
                <c:pt idx="3">
                  <c:v>0.1740998865297925</c:v>
                </c:pt>
                <c:pt idx="4">
                  <c:v>0.1406387347778143</c:v>
                </c:pt>
                <c:pt idx="5">
                  <c:v>0.21077750741565332</c:v>
                </c:pt>
                <c:pt idx="6">
                  <c:v>0.18134957871028806</c:v>
                </c:pt>
                <c:pt idx="7">
                  <c:v>0.15303480030970265</c:v>
                </c:pt>
                <c:pt idx="8">
                  <c:v>0.16479208804045642</c:v>
                </c:pt>
                <c:pt idx="9">
                  <c:v>0.25760262294370717</c:v>
                </c:pt>
                <c:pt idx="10">
                  <c:v>0.68774304950366627</c:v>
                </c:pt>
                <c:pt idx="11">
                  <c:v>0.60159075333327117</c:v>
                </c:pt>
                <c:pt idx="12">
                  <c:v>0.66822115375525393</c:v>
                </c:pt>
                <c:pt idx="13">
                  <c:v>0.7572201953793517</c:v>
                </c:pt>
                <c:pt idx="14">
                  <c:v>0.77015110980857304</c:v>
                </c:pt>
                <c:pt idx="15">
                  <c:v>0.36630875928927431</c:v>
                </c:pt>
                <c:pt idx="16">
                  <c:v>0.41983516635168094</c:v>
                </c:pt>
                <c:pt idx="17">
                  <c:v>0.35342484624616488</c:v>
                </c:pt>
                <c:pt idx="18">
                  <c:v>0.36010278126781314</c:v>
                </c:pt>
                <c:pt idx="19">
                  <c:v>0.44682033788731051</c:v>
                </c:pt>
                <c:pt idx="20">
                  <c:v>0.72243763313638421</c:v>
                </c:pt>
                <c:pt idx="21">
                  <c:v>0.72446941189076619</c:v>
                </c:pt>
                <c:pt idx="22">
                  <c:v>0.72834845489845823</c:v>
                </c:pt>
                <c:pt idx="23">
                  <c:v>0.70995770887712795</c:v>
                </c:pt>
                <c:pt idx="24">
                  <c:v>0.70917696194620805</c:v>
                </c:pt>
                <c:pt idx="25">
                  <c:v>0.16699678983675981</c:v>
                </c:pt>
                <c:pt idx="26">
                  <c:v>0.1905344742730232</c:v>
                </c:pt>
                <c:pt idx="27">
                  <c:v>0.16923558845479156</c:v>
                </c:pt>
                <c:pt idx="28">
                  <c:v>0.17154221949331269</c:v>
                </c:pt>
                <c:pt idx="29">
                  <c:v>0.1536170181690717</c:v>
                </c:pt>
                <c:pt idx="30">
                  <c:v>1.372637984824558</c:v>
                </c:pt>
                <c:pt idx="31">
                  <c:v>1.3683526761546407</c:v>
                </c:pt>
              </c:numCache>
            </c:numRef>
          </c:xVal>
          <c:yVal>
            <c:numRef>
              <c:f>MatrixExamplesMathematica!$AY$35:$AY$66</c:f>
              <c:numCache>
                <c:formatCode>General</c:formatCode>
                <c:ptCount val="32"/>
                <c:pt idx="0">
                  <c:v>0.10761999999999999</c:v>
                </c:pt>
                <c:pt idx="1">
                  <c:v>0.10509</c:v>
                </c:pt>
                <c:pt idx="2">
                  <c:v>0.10700900000000001</c:v>
                </c:pt>
                <c:pt idx="3">
                  <c:v>0.11360000000000001</c:v>
                </c:pt>
                <c:pt idx="4">
                  <c:v>9.4791399999999998E-2</c:v>
                </c:pt>
                <c:pt idx="5">
                  <c:v>0.13652600000000001</c:v>
                </c:pt>
                <c:pt idx="6">
                  <c:v>0.120867</c:v>
                </c:pt>
                <c:pt idx="7">
                  <c:v>0.10675999999999999</c:v>
                </c:pt>
                <c:pt idx="8">
                  <c:v>0.107261</c:v>
                </c:pt>
                <c:pt idx="9">
                  <c:v>0.16899400000000001</c:v>
                </c:pt>
                <c:pt idx="10">
                  <c:v>0.475526</c:v>
                </c:pt>
                <c:pt idx="11">
                  <c:v>0.41960199999999997</c:v>
                </c:pt>
                <c:pt idx="12">
                  <c:v>0.44540299999999999</c:v>
                </c:pt>
                <c:pt idx="13">
                  <c:v>0.49345699999999998</c:v>
                </c:pt>
                <c:pt idx="14">
                  <c:v>0.51344599999999996</c:v>
                </c:pt>
                <c:pt idx="15">
                  <c:v>0.23080200000000001</c:v>
                </c:pt>
                <c:pt idx="16">
                  <c:v>0.26251200000000002</c:v>
                </c:pt>
                <c:pt idx="17">
                  <c:v>0.22032299999999999</c:v>
                </c:pt>
                <c:pt idx="18">
                  <c:v>0.231132</c:v>
                </c:pt>
                <c:pt idx="19">
                  <c:v>0.27151799999999998</c:v>
                </c:pt>
                <c:pt idx="20">
                  <c:v>0.48769621353161285</c:v>
                </c:pt>
                <c:pt idx="21">
                  <c:v>0.48242299999999999</c:v>
                </c:pt>
                <c:pt idx="22">
                  <c:v>0.48247499999999999</c:v>
                </c:pt>
                <c:pt idx="23">
                  <c:v>0.47154000000000001</c:v>
                </c:pt>
                <c:pt idx="24">
                  <c:v>0.47693999999999998</c:v>
                </c:pt>
                <c:pt idx="25">
                  <c:v>0.110121</c:v>
                </c:pt>
                <c:pt idx="26">
                  <c:v>0.12712899999999999</c:v>
                </c:pt>
                <c:pt idx="27">
                  <c:v>0.11326799999999999</c:v>
                </c:pt>
                <c:pt idx="28">
                  <c:v>0.11444799999999999</c:v>
                </c:pt>
                <c:pt idx="29">
                  <c:v>0.102274</c:v>
                </c:pt>
                <c:pt idx="30">
                  <c:v>0.91309043206897933</c:v>
                </c:pt>
                <c:pt idx="31">
                  <c:v>0.90891299999999997</c:v>
                </c:pt>
              </c:numCache>
            </c:numRef>
          </c:yVal>
        </c:ser>
        <c:ser>
          <c:idx val="1"/>
          <c:order val="1"/>
          <c:tx>
            <c:strRef>
              <c:f>MatrixExamplesMathematica!$BA$36</c:f>
              <c:strCache>
                <c:ptCount val="1"/>
                <c:pt idx="0">
                  <c:v>Структура-2</c:v>
                </c:pt>
              </c:strCache>
            </c:strRef>
          </c:tx>
          <c:spPr>
            <a:ln w="28575">
              <a:noFill/>
            </a:ln>
          </c:spP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1"/>
            <c:dispEq val="1"/>
            <c:trendlineLbl>
              <c:numFmt formatCode="General" sourceLinked="0"/>
              <c:txPr>
                <a:bodyPr/>
                <a:lstStyle/>
                <a:p>
                  <a:pPr>
                    <a:defRPr b="1" baseline="0">
                      <a:solidFill>
                        <a:srgbClr val="FF0000"/>
                      </a:solidFill>
                    </a:defRPr>
                  </a:pPr>
                  <a:endParaRPr lang="ru-RU"/>
                </a:p>
              </c:txPr>
            </c:trendlineLbl>
          </c:trendline>
          <c:xVal>
            <c:numRef>
              <c:f>MatrixExamplesMathematica!$AX$67:$AX$69</c:f>
              <c:numCache>
                <c:formatCode>General</c:formatCode>
                <c:ptCount val="3"/>
                <c:pt idx="0">
                  <c:v>1.3857382920647701</c:v>
                </c:pt>
                <c:pt idx="1">
                  <c:v>0.83594630116410062</c:v>
                </c:pt>
                <c:pt idx="2">
                  <c:v>0.29797390488655734</c:v>
                </c:pt>
              </c:numCache>
            </c:numRef>
          </c:xVal>
          <c:yVal>
            <c:numRef>
              <c:f>MatrixExamplesMathematica!$AY$67:$AY$69</c:f>
              <c:numCache>
                <c:formatCode>General</c:formatCode>
                <c:ptCount val="3"/>
                <c:pt idx="0">
                  <c:v>0.700021</c:v>
                </c:pt>
                <c:pt idx="1">
                  <c:v>0.38658100000000001</c:v>
                </c:pt>
                <c:pt idx="2">
                  <c:v>0.139101</c:v>
                </c:pt>
              </c:numCache>
            </c:numRef>
          </c:yVal>
        </c:ser>
        <c:ser>
          <c:idx val="2"/>
          <c:order val="2"/>
          <c:tx>
            <c:strRef>
              <c:f>MatrixExamplesMathematica!$BA$37</c:f>
              <c:strCache>
                <c:ptCount val="1"/>
                <c:pt idx="0">
                  <c:v>Структура-3</c:v>
                </c:pt>
              </c:strCache>
            </c:strRef>
          </c:tx>
          <c:spPr>
            <a:ln w="28575">
              <a:noFill/>
            </a:ln>
          </c:spPr>
          <c:trendline>
            <c:spPr>
              <a:ln w="19050">
                <a:solidFill>
                  <a:srgbClr val="00B05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9.9762248468941397E-2"/>
                  <c:y val="0.11013925342665636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b="1" baseline="0">
                      <a:solidFill>
                        <a:srgbClr val="00B050"/>
                      </a:solidFill>
                    </a:defRPr>
                  </a:pPr>
                  <a:endParaRPr lang="ru-RU"/>
                </a:p>
              </c:txPr>
            </c:trendlineLbl>
          </c:trendline>
          <c:xVal>
            <c:numRef>
              <c:f>MatrixExamplesMathematica!$AX$70:$AX$74</c:f>
              <c:numCache>
                <c:formatCode>General</c:formatCode>
                <c:ptCount val="5"/>
                <c:pt idx="0">
                  <c:v>0.69911371893810959</c:v>
                </c:pt>
                <c:pt idx="1">
                  <c:v>1.0891493654076967</c:v>
                </c:pt>
                <c:pt idx="2">
                  <c:v>0.78105888731716033</c:v>
                </c:pt>
                <c:pt idx="3">
                  <c:v>1.3535564765175807</c:v>
                </c:pt>
                <c:pt idx="4">
                  <c:v>0.19649800863578967</c:v>
                </c:pt>
              </c:numCache>
            </c:numRef>
          </c:xVal>
          <c:yVal>
            <c:numRef>
              <c:f>MatrixExamplesMathematica!$AY$70:$AY$74</c:f>
              <c:numCache>
                <c:formatCode>General</c:formatCode>
                <c:ptCount val="5"/>
                <c:pt idx="0">
                  <c:v>0.28422599999999998</c:v>
                </c:pt>
                <c:pt idx="1">
                  <c:v>0.41782599999999998</c:v>
                </c:pt>
                <c:pt idx="2">
                  <c:v>0.28367700000000001</c:v>
                </c:pt>
                <c:pt idx="3">
                  <c:v>0.55081400000000003</c:v>
                </c:pt>
                <c:pt idx="4">
                  <c:v>7.6402200000000003E-2</c:v>
                </c:pt>
              </c:numCache>
            </c:numRef>
          </c:yVal>
        </c:ser>
        <c:axId val="93417856"/>
        <c:axId val="93419776"/>
      </c:scatterChart>
      <c:valAx>
        <c:axId val="934178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Норма</a:t>
                </a:r>
                <a:r>
                  <a:rPr lang="ru-RU" baseline="0"/>
                  <a:t> прибавочной стоимости, </a:t>
                </a:r>
                <a:r>
                  <a:rPr lang="en-US" baseline="0"/>
                  <a:t>m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46906430446194231"/>
              <c:y val="0.79364390487978365"/>
            </c:manualLayout>
          </c:layout>
        </c:title>
        <c:numFmt formatCode="General" sourceLinked="1"/>
        <c:majorTickMark val="none"/>
        <c:tickLblPos val="nextTo"/>
        <c:crossAx val="93419776"/>
        <c:crosses val="autoZero"/>
        <c:crossBetween val="midCat"/>
      </c:valAx>
      <c:valAx>
        <c:axId val="93419776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ru-RU"/>
                  <a:t>Норма</a:t>
                </a:r>
                <a:r>
                  <a:rPr lang="ru-RU" baseline="0"/>
                  <a:t> прибыли, </a:t>
                </a:r>
                <a:r>
                  <a:rPr lang="en-US" baseline="0"/>
                  <a:t>R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11944444444444446"/>
              <c:y val="0.31186544825709839"/>
            </c:manualLayout>
          </c:layout>
        </c:title>
        <c:numFmt formatCode="General" sourceLinked="1"/>
        <c:majorTickMark val="none"/>
        <c:tickLblPos val="nextTo"/>
        <c:crossAx val="934178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8284864391951536"/>
          <c:y val="0.30391945154012945"/>
          <c:w val="0.35326246719160653"/>
          <c:h val="0.15083278469790179"/>
        </c:manualLayout>
      </c:layout>
    </c:legend>
    <c:plotVisOnly val="1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000"/>
            </a:pPr>
            <a:r>
              <a:rPr lang="ru-RU" sz="1000"/>
              <a:t>Относительное</a:t>
            </a:r>
            <a:r>
              <a:rPr lang="ru-RU" sz="1000" baseline="0"/>
              <a:t> отклонение цены производства и стоимости выпуска продукции (</a:t>
            </a:r>
            <a:r>
              <a:rPr lang="en-US" sz="1000" baseline="0"/>
              <a:t>W' - W) : W</a:t>
            </a:r>
            <a:r>
              <a:rPr lang="ru-RU" sz="1000" baseline="0"/>
              <a:t> в зависимости от нормы прибыли при разном числе отраслей экономики </a:t>
            </a:r>
            <a:r>
              <a:rPr lang="en-US" sz="1000" baseline="0"/>
              <a:t>N</a:t>
            </a:r>
            <a:r>
              <a:rPr lang="ru-RU" sz="1000" baseline="0"/>
              <a:t> (структура-1).</a:t>
            </a:r>
            <a:endParaRPr lang="ru-RU" sz="1000"/>
          </a:p>
        </c:rich>
      </c:tx>
    </c:title>
    <c:plotArea>
      <c:layout>
        <c:manualLayout>
          <c:layoutTarget val="inner"/>
          <c:xMode val="edge"/>
          <c:yMode val="edge"/>
          <c:x val="0.13180774278215224"/>
          <c:y val="0.22871536891221941"/>
          <c:w val="0.77088670166229212"/>
          <c:h val="0.52273877223680465"/>
        </c:manualLayout>
      </c:layout>
      <c:scatterChart>
        <c:scatterStyle val="smoothMarker"/>
        <c:ser>
          <c:idx val="0"/>
          <c:order val="0"/>
          <c:tx>
            <c:strRef>
              <c:f>Statistics!$U$36</c:f>
              <c:strCache>
                <c:ptCount val="1"/>
                <c:pt idx="0">
                  <c:v>N = 115</c:v>
                </c:pt>
              </c:strCache>
            </c:strRef>
          </c:tx>
          <c:xVal>
            <c:numRef>
              <c:f>Statistics!$U$37:$U$38</c:f>
              <c:numCache>
                <c:formatCode>0.00</c:formatCode>
                <c:ptCount val="2"/>
                <c:pt idx="0">
                  <c:v>0.11344799999999999</c:v>
                </c:pt>
                <c:pt idx="1">
                  <c:v>0.48021484270632253</c:v>
                </c:pt>
              </c:numCache>
            </c:numRef>
          </c:xVal>
          <c:yVal>
            <c:numRef>
              <c:f>Statistics!$V$37:$V$38</c:f>
              <c:numCache>
                <c:formatCode>0.00%</c:formatCode>
                <c:ptCount val="2"/>
                <c:pt idx="0">
                  <c:v>5.1763559708040846E-4</c:v>
                </c:pt>
                <c:pt idx="1">
                  <c:v>1.7115783416101521E-3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Statistics!$U$39</c:f>
              <c:strCache>
                <c:ptCount val="1"/>
                <c:pt idx="0">
                  <c:v>N = 22</c:v>
                </c:pt>
              </c:strCache>
            </c:strRef>
          </c:tx>
          <c:xVal>
            <c:numRef>
              <c:f>Statistics!$U$40:$U$41</c:f>
              <c:numCache>
                <c:formatCode>0.00</c:formatCode>
                <c:ptCount val="2"/>
                <c:pt idx="0">
                  <c:v>0.12808159999999999</c:v>
                </c:pt>
                <c:pt idx="1">
                  <c:v>0.46948679999999998</c:v>
                </c:pt>
              </c:numCache>
            </c:numRef>
          </c:xVal>
          <c:yVal>
            <c:numRef>
              <c:f>Statistics!$V$40:$V$41</c:f>
              <c:numCache>
                <c:formatCode>0.00%</c:formatCode>
                <c:ptCount val="2"/>
                <c:pt idx="0">
                  <c:v>7.0456306757873677E-3</c:v>
                </c:pt>
                <c:pt idx="1">
                  <c:v>1.0497911352939329E-2</c:v>
                </c:pt>
              </c:numCache>
            </c:numRef>
          </c:yVal>
          <c:smooth val="1"/>
        </c:ser>
        <c:axId val="85551360"/>
        <c:axId val="85569920"/>
      </c:scatterChart>
      <c:valAx>
        <c:axId val="855513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Норма</a:t>
                </a:r>
                <a:r>
                  <a:rPr lang="ru-RU" baseline="0"/>
                  <a:t> прибыли</a:t>
                </a:r>
                <a:endParaRPr lang="ru-RU"/>
              </a:p>
            </c:rich>
          </c:tx>
        </c:title>
        <c:numFmt formatCode="0.00" sourceLinked="1"/>
        <c:majorTickMark val="none"/>
        <c:tickLblPos val="nextTo"/>
        <c:crossAx val="85569920"/>
        <c:crosses val="autoZero"/>
        <c:crossBetween val="midCat"/>
      </c:valAx>
      <c:valAx>
        <c:axId val="85569920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13611111111111121"/>
              <c:y val="0.21877661125692621"/>
            </c:manualLayout>
          </c:layout>
        </c:title>
        <c:numFmt formatCode="0.00%" sourceLinked="1"/>
        <c:majorTickMark val="none"/>
        <c:tickLblPos val="nextTo"/>
        <c:crossAx val="855513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843044619422582"/>
          <c:y val="0.4077179935841353"/>
          <c:w val="0.16990288713910989"/>
          <c:h val="0.16743438320210313"/>
        </c:manualLayout>
      </c:layout>
    </c:legend>
    <c:plotVisOnly val="1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000"/>
            </a:pPr>
            <a:r>
              <a:rPr lang="ru-RU" sz="1000" baseline="0"/>
              <a:t>Относительное отклонение цены производства от стоимости выпуска (</a:t>
            </a:r>
            <a:r>
              <a:rPr lang="en-US" sz="1000" baseline="0"/>
              <a:t>W' - W) : W </a:t>
            </a:r>
            <a:r>
              <a:rPr lang="ru-RU" sz="1000" baseline="0"/>
              <a:t>в зависимости от количества отраслей при примерно одинаковой норме прибыли.</a:t>
            </a:r>
            <a:endParaRPr lang="ru-RU" sz="1000"/>
          </a:p>
        </c:rich>
      </c:tx>
    </c:title>
    <c:plotArea>
      <c:layout>
        <c:manualLayout>
          <c:layoutTarget val="inner"/>
          <c:xMode val="edge"/>
          <c:yMode val="edge"/>
          <c:x val="0.18434951881014874"/>
          <c:y val="0.26258129192184965"/>
          <c:w val="0.76397681539809237"/>
          <c:h val="0.5027617381160685"/>
        </c:manualLayout>
      </c:layout>
      <c:scatterChart>
        <c:scatterStyle val="lineMarker"/>
        <c:ser>
          <c:idx val="0"/>
          <c:order val="0"/>
          <c:xVal>
            <c:numRef>
              <c:f>Statistics!$T$9:$T$11</c:f>
              <c:numCache>
                <c:formatCode>General</c:formatCode>
                <c:ptCount val="3"/>
                <c:pt idx="0">
                  <c:v>22</c:v>
                </c:pt>
                <c:pt idx="1">
                  <c:v>75</c:v>
                </c:pt>
                <c:pt idx="2">
                  <c:v>115</c:v>
                </c:pt>
              </c:numCache>
            </c:numRef>
          </c:xVal>
          <c:yVal>
            <c:numRef>
              <c:f>Statistics!$U$9:$U$11</c:f>
              <c:numCache>
                <c:formatCode>0.00000%</c:formatCode>
                <c:ptCount val="3"/>
                <c:pt idx="0" formatCode="0.00%">
                  <c:v>7.0456306757873677E-3</c:v>
                </c:pt>
                <c:pt idx="1">
                  <c:v>6.7100999474504694E-4</c:v>
                </c:pt>
                <c:pt idx="2">
                  <c:v>5.1763559708040846E-4</c:v>
                </c:pt>
              </c:numCache>
            </c:numRef>
          </c:yVal>
        </c:ser>
        <c:axId val="93790976"/>
        <c:axId val="93792896"/>
      </c:scatterChart>
      <c:valAx>
        <c:axId val="937909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Количество</a:t>
                </a:r>
                <a:r>
                  <a:rPr lang="ru-RU" baseline="0"/>
                  <a:t> отраслей</a:t>
                </a:r>
                <a:endParaRPr lang="ru-RU"/>
              </a:p>
            </c:rich>
          </c:tx>
        </c:title>
        <c:numFmt formatCode="General" sourceLinked="1"/>
        <c:majorTickMark val="none"/>
        <c:tickLblPos val="nextTo"/>
        <c:crossAx val="93792896"/>
        <c:crosses val="autoZero"/>
        <c:crossBetween val="midCat"/>
      </c:valAx>
      <c:valAx>
        <c:axId val="937928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Отклонение</a:t>
                </a:r>
                <a:r>
                  <a:rPr lang="ru-RU" baseline="0"/>
                  <a:t> в </a:t>
                </a:r>
                <a:r>
                  <a:rPr lang="en-US" baseline="0"/>
                  <a:t>%</a:t>
                </a:r>
                <a:endParaRPr lang="ru-RU"/>
              </a:p>
            </c:rich>
          </c:tx>
        </c:title>
        <c:numFmt formatCode="0.00%" sourceLinked="1"/>
        <c:majorTickMark val="none"/>
        <c:tickLblPos val="nextTo"/>
        <c:crossAx val="93790976"/>
        <c:crosses val="autoZero"/>
        <c:crossBetween val="midCat"/>
      </c:valAx>
    </c:plotArea>
    <c:plotVisOnly val="1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000"/>
            </a:pPr>
            <a:r>
              <a:rPr lang="ru-RU" sz="1000"/>
              <a:t>Дисперсия</a:t>
            </a:r>
            <a:r>
              <a:rPr lang="ru-RU" sz="1000" baseline="0"/>
              <a:t> органических строений департаментов в зависимости от числа отраслей (структура-1).</a:t>
            </a:r>
            <a:endParaRPr lang="ru-RU" sz="1000"/>
          </a:p>
        </c:rich>
      </c:tx>
    </c:title>
    <c:plotArea>
      <c:layout>
        <c:manualLayout>
          <c:layoutTarget val="inner"/>
          <c:xMode val="edge"/>
          <c:yMode val="edge"/>
          <c:x val="0.11791885389326226"/>
          <c:y val="0.23522502938666409"/>
          <c:w val="0.83111570428696357"/>
          <c:h val="0.65759689548009803"/>
        </c:manualLayout>
      </c:layout>
      <c:scatterChart>
        <c:scatterStyle val="smoothMarker"/>
        <c:ser>
          <c:idx val="0"/>
          <c:order val="0"/>
          <c:tx>
            <c:strRef>
              <c:f>Statistics!$T$58</c:f>
              <c:strCache>
                <c:ptCount val="1"/>
                <c:pt idx="0">
                  <c:v>Дисперсия органических строений (R ≈ 0.11)</c:v>
                </c:pt>
              </c:strCache>
            </c:strRef>
          </c:tx>
          <c:xVal>
            <c:numRef>
              <c:f>Statistics!$I$49:$I$51</c:f>
              <c:numCache>
                <c:formatCode>General</c:formatCode>
                <c:ptCount val="3"/>
                <c:pt idx="0">
                  <c:v>22</c:v>
                </c:pt>
                <c:pt idx="1">
                  <c:v>75</c:v>
                </c:pt>
                <c:pt idx="2">
                  <c:v>115</c:v>
                </c:pt>
              </c:numCache>
            </c:numRef>
          </c:xVal>
          <c:yVal>
            <c:numRef>
              <c:f>Statistics!$M$49:$M$51</c:f>
              <c:numCache>
                <c:formatCode>General</c:formatCode>
                <c:ptCount val="3"/>
                <c:pt idx="0">
                  <c:v>-2.1082928982732683</c:v>
                </c:pt>
                <c:pt idx="1">
                  <c:v>-3.8055373377143717</c:v>
                </c:pt>
                <c:pt idx="2">
                  <c:v>-4.2288428716300261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Statistics!$T$59</c:f>
              <c:strCache>
                <c:ptCount val="1"/>
                <c:pt idx="0">
                  <c:v>Дисперсия органических строений (R ≈ 0.48)</c:v>
                </c:pt>
              </c:strCache>
            </c:strRef>
          </c:tx>
          <c:xVal>
            <c:numRef>
              <c:f>Statistics!$I$52:$I$53</c:f>
              <c:numCache>
                <c:formatCode>General</c:formatCode>
                <c:ptCount val="2"/>
                <c:pt idx="0">
                  <c:v>22</c:v>
                </c:pt>
                <c:pt idx="1">
                  <c:v>115</c:v>
                </c:pt>
              </c:numCache>
            </c:numRef>
          </c:xVal>
          <c:yVal>
            <c:numRef>
              <c:f>Statistics!$M$52:$M$53</c:f>
              <c:numCache>
                <c:formatCode>General</c:formatCode>
                <c:ptCount val="2"/>
                <c:pt idx="0">
                  <c:v>-2.3992126700933651</c:v>
                </c:pt>
                <c:pt idx="1">
                  <c:v>-3.6430866333814289</c:v>
                </c:pt>
              </c:numCache>
            </c:numRef>
          </c:yVal>
          <c:smooth val="1"/>
        </c:ser>
        <c:axId val="93827456"/>
        <c:axId val="93829376"/>
      </c:scatterChart>
      <c:valAx>
        <c:axId val="938274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Число</a:t>
                </a:r>
                <a:r>
                  <a:rPr lang="ru-RU" baseline="0"/>
                  <a:t> отраслей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73076137357831272"/>
              <c:y val="0.16889554449865538"/>
            </c:manualLayout>
          </c:layout>
        </c:title>
        <c:numFmt formatCode="General" sourceLinked="1"/>
        <c:majorTickMark val="none"/>
        <c:tickLblPos val="nextTo"/>
        <c:crossAx val="93829376"/>
        <c:crosses val="autoZero"/>
        <c:crossBetween val="midCat"/>
      </c:valAx>
      <c:valAx>
        <c:axId val="93829376"/>
        <c:scaling>
          <c:orientation val="minMax"/>
          <c:max val="-2"/>
          <c:min val="-5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ru-RU"/>
                  <a:t>Десятичный</a:t>
                </a:r>
                <a:r>
                  <a:rPr lang="ru-RU" baseline="0"/>
                  <a:t> л</a:t>
                </a:r>
                <a:r>
                  <a:rPr lang="ru-RU"/>
                  <a:t>огарифм</a:t>
                </a:r>
                <a:r>
                  <a:rPr lang="ru-RU" baseline="0"/>
                  <a:t> дисперсии.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11944444444444446"/>
              <c:y val="0.72185562694233774"/>
            </c:manualLayout>
          </c:layout>
        </c:title>
        <c:numFmt formatCode="General" sourceLinked="1"/>
        <c:majorTickMark val="none"/>
        <c:tickLblPos val="nextTo"/>
        <c:crossAx val="93827456"/>
        <c:crosses val="autoZero"/>
        <c:crossBetween val="midCat"/>
        <c:majorUnit val="1"/>
      </c:valAx>
    </c:plotArea>
    <c:legend>
      <c:legendPos val="r"/>
      <c:layout>
        <c:manualLayout>
          <c:xMode val="edge"/>
          <c:yMode val="edge"/>
          <c:x val="0.61733333333333362"/>
          <c:y val="0.35836529636249953"/>
          <c:w val="0.31877777777778377"/>
          <c:h val="0.17451652899215819"/>
        </c:manualLayout>
      </c:layout>
      <c:txPr>
        <a:bodyPr/>
        <a:lstStyle/>
        <a:p>
          <a:pPr>
            <a:defRPr sz="800" b="1"/>
          </a:pPr>
          <a:endParaRPr lang="ru-RU"/>
        </a:p>
      </c:txPr>
    </c:legend>
    <c:plotVisOnly val="1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000"/>
            </a:pPr>
            <a:r>
              <a:rPr lang="ru-RU" sz="1000"/>
              <a:t>Дисперсия</a:t>
            </a:r>
            <a:r>
              <a:rPr lang="ru-RU" sz="1000" baseline="0"/>
              <a:t> коэффициентов трансформирования </a:t>
            </a:r>
            <a:r>
              <a:rPr lang="en-US" sz="1000" baseline="0"/>
              <a:t>x </a:t>
            </a:r>
            <a:r>
              <a:rPr lang="ru-RU" sz="1000" baseline="0"/>
              <a:t>и </a:t>
            </a:r>
            <a:r>
              <a:rPr lang="en-US" sz="1000" baseline="0"/>
              <a:t>y </a:t>
            </a:r>
            <a:r>
              <a:rPr lang="ru-RU" sz="1000" baseline="0"/>
              <a:t>в зависимости от числа отраслей</a:t>
            </a:r>
            <a:r>
              <a:rPr lang="en-US" sz="1000" baseline="0"/>
              <a:t> (</a:t>
            </a:r>
            <a:r>
              <a:rPr lang="ru-RU" sz="1000" baseline="0"/>
              <a:t>структура-1).</a:t>
            </a:r>
            <a:endParaRPr lang="ru-RU" sz="1000"/>
          </a:p>
        </c:rich>
      </c:tx>
    </c:title>
    <c:plotArea>
      <c:layout>
        <c:manualLayout>
          <c:layoutTarget val="inner"/>
          <c:xMode val="edge"/>
          <c:yMode val="edge"/>
          <c:x val="8.8391294838145187E-2"/>
          <c:y val="0.23385425780110841"/>
          <c:w val="0.83771281714785661"/>
          <c:h val="0.64482611548557356"/>
        </c:manualLayout>
      </c:layout>
      <c:scatterChart>
        <c:scatterStyle val="lineMarker"/>
        <c:ser>
          <c:idx val="0"/>
          <c:order val="0"/>
          <c:tx>
            <c:strRef>
              <c:f>Statistics!$T$87</c:f>
              <c:strCache>
                <c:ptCount val="1"/>
                <c:pt idx="0">
                  <c:v>Дисперсия x (R ≈ 0.11)</c:v>
                </c:pt>
              </c:strCache>
            </c:strRef>
          </c:tx>
          <c:xVal>
            <c:numRef>
              <c:f>Statistics!$I$81:$I$83</c:f>
              <c:numCache>
                <c:formatCode>0</c:formatCode>
                <c:ptCount val="3"/>
                <c:pt idx="0">
                  <c:v>22</c:v>
                </c:pt>
                <c:pt idx="1">
                  <c:v>75</c:v>
                </c:pt>
                <c:pt idx="2">
                  <c:v>115</c:v>
                </c:pt>
              </c:numCache>
            </c:numRef>
          </c:xVal>
          <c:yVal>
            <c:numRef>
              <c:f>Statistics!$M$81:$M$83</c:f>
              <c:numCache>
                <c:formatCode>General</c:formatCode>
                <c:ptCount val="3"/>
                <c:pt idx="0">
                  <c:v>-6.1474860127090167</c:v>
                </c:pt>
                <c:pt idx="1">
                  <c:v>-7.4606814202960487</c:v>
                </c:pt>
                <c:pt idx="2">
                  <c:v>-8.1586142136055795</c:v>
                </c:pt>
              </c:numCache>
            </c:numRef>
          </c:yVal>
        </c:ser>
        <c:ser>
          <c:idx val="1"/>
          <c:order val="1"/>
          <c:tx>
            <c:strRef>
              <c:f>Statistics!$T$88</c:f>
              <c:strCache>
                <c:ptCount val="1"/>
                <c:pt idx="0">
                  <c:v>Дисперсия y (R ≈ 0.11)</c:v>
                </c:pt>
              </c:strCache>
            </c:strRef>
          </c:tx>
          <c:xVal>
            <c:numRef>
              <c:f>Statistics!$I$81:$I$83</c:f>
              <c:numCache>
                <c:formatCode>0</c:formatCode>
                <c:ptCount val="3"/>
                <c:pt idx="0">
                  <c:v>22</c:v>
                </c:pt>
                <c:pt idx="1">
                  <c:v>75</c:v>
                </c:pt>
                <c:pt idx="2">
                  <c:v>115</c:v>
                </c:pt>
              </c:numCache>
            </c:numRef>
          </c:xVal>
          <c:yVal>
            <c:numRef>
              <c:f>Statistics!$N$81:$N$83</c:f>
              <c:numCache>
                <c:formatCode>General</c:formatCode>
                <c:ptCount val="3"/>
                <c:pt idx="0">
                  <c:v>-6.2354743939033286</c:v>
                </c:pt>
                <c:pt idx="1">
                  <c:v>-8.3803024761576381</c:v>
                </c:pt>
                <c:pt idx="2">
                  <c:v>-8.2329449454173762</c:v>
                </c:pt>
              </c:numCache>
            </c:numRef>
          </c:yVal>
        </c:ser>
        <c:ser>
          <c:idx val="2"/>
          <c:order val="2"/>
          <c:tx>
            <c:strRef>
              <c:f>Statistics!$T$89</c:f>
              <c:strCache>
                <c:ptCount val="1"/>
                <c:pt idx="0">
                  <c:v>Дисперсия x (R ≈ 0.48)</c:v>
                </c:pt>
              </c:strCache>
            </c:strRef>
          </c:tx>
          <c:xVal>
            <c:numRef>
              <c:f>Statistics!$I$84:$I$85</c:f>
              <c:numCache>
                <c:formatCode>0</c:formatCode>
                <c:ptCount val="2"/>
                <c:pt idx="0">
                  <c:v>22</c:v>
                </c:pt>
                <c:pt idx="1">
                  <c:v>115</c:v>
                </c:pt>
              </c:numCache>
            </c:numRef>
          </c:xVal>
          <c:yVal>
            <c:numRef>
              <c:f>Statistics!$M$84:$M$85</c:f>
              <c:numCache>
                <c:formatCode>General</c:formatCode>
                <c:ptCount val="2"/>
                <c:pt idx="0">
                  <c:v>-4.918502570887525</c:v>
                </c:pt>
                <c:pt idx="1">
                  <c:v>-7.7704263399798439</c:v>
                </c:pt>
              </c:numCache>
            </c:numRef>
          </c:yVal>
        </c:ser>
        <c:ser>
          <c:idx val="3"/>
          <c:order val="3"/>
          <c:tx>
            <c:strRef>
              <c:f>Statistics!$T$90</c:f>
              <c:strCache>
                <c:ptCount val="1"/>
                <c:pt idx="0">
                  <c:v>Дисперсия y (R ≈ 0.48)</c:v>
                </c:pt>
              </c:strCache>
            </c:strRef>
          </c:tx>
          <c:xVal>
            <c:numRef>
              <c:f>Statistics!$I$84:$I$85</c:f>
              <c:numCache>
                <c:formatCode>0</c:formatCode>
                <c:ptCount val="2"/>
                <c:pt idx="0">
                  <c:v>22</c:v>
                </c:pt>
                <c:pt idx="1">
                  <c:v>115</c:v>
                </c:pt>
              </c:numCache>
            </c:numRef>
          </c:xVal>
          <c:yVal>
            <c:numRef>
              <c:f>Statistics!$N$84:$N$85</c:f>
              <c:numCache>
                <c:formatCode>General</c:formatCode>
                <c:ptCount val="2"/>
                <c:pt idx="0">
                  <c:v>-5.1511800336018121</c:v>
                </c:pt>
                <c:pt idx="1">
                  <c:v>-8.0514748452446465</c:v>
                </c:pt>
              </c:numCache>
            </c:numRef>
          </c:yVal>
        </c:ser>
        <c:axId val="93745920"/>
        <c:axId val="93747840"/>
      </c:scatterChart>
      <c:valAx>
        <c:axId val="937459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Число</a:t>
                </a:r>
                <a:r>
                  <a:rPr lang="ru-RU" baseline="0"/>
                  <a:t> отраслей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72953237095362411"/>
              <c:y val="0.1518285214348207"/>
            </c:manualLayout>
          </c:layout>
        </c:title>
        <c:numFmt formatCode="0" sourceLinked="1"/>
        <c:majorTickMark val="none"/>
        <c:tickLblPos val="nextTo"/>
        <c:crossAx val="93747840"/>
        <c:crosses val="autoZero"/>
        <c:crossBetween val="midCat"/>
      </c:valAx>
      <c:valAx>
        <c:axId val="93747840"/>
        <c:scaling>
          <c:orientation val="minMax"/>
          <c:max val="-4"/>
          <c:min val="-9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ru-RU" sz="800"/>
                  <a:t>Десятичный</a:t>
                </a:r>
                <a:r>
                  <a:rPr lang="ru-RU" sz="800" baseline="0"/>
                  <a:t> логарифм дисперсии</a:t>
                </a:r>
                <a:endParaRPr lang="ru-RU" sz="800"/>
              </a:p>
            </c:rich>
          </c:tx>
          <c:layout>
            <c:manualLayout>
              <c:xMode val="edge"/>
              <c:yMode val="edge"/>
              <c:x val="9.1666666666668159E-2"/>
              <c:y val="0.74234361329834953"/>
            </c:manualLayout>
          </c:layout>
        </c:title>
        <c:numFmt formatCode="General" sourceLinked="1"/>
        <c:majorTickMark val="none"/>
        <c:tickLblPos val="nextTo"/>
        <c:crossAx val="93745920"/>
        <c:crosses val="autoZero"/>
        <c:crossBetween val="midCat"/>
        <c:majorUnit val="1"/>
      </c:valAx>
    </c:plotArea>
    <c:legend>
      <c:legendPos val="r"/>
      <c:layout>
        <c:manualLayout>
          <c:xMode val="edge"/>
          <c:yMode val="edge"/>
          <c:x val="0.6166666666666667"/>
          <c:y val="0.34971821230679501"/>
          <c:w val="0.29150000000000031"/>
          <c:h val="0.21912802566345868"/>
        </c:manualLayout>
      </c:layout>
      <c:txPr>
        <a:bodyPr/>
        <a:lstStyle/>
        <a:p>
          <a:pPr>
            <a:defRPr sz="800" b="1"/>
          </a:pPr>
          <a:endParaRPr lang="ru-RU"/>
        </a:p>
      </c:txPr>
    </c:legend>
    <c:plotVisOnly val="1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000"/>
            </a:pPr>
            <a:r>
              <a:rPr lang="ru-RU" sz="1000"/>
              <a:t>Дисперсия органических строений департаментов в зависимости от числа отраслей (структура-2)</a:t>
            </a:r>
          </a:p>
        </c:rich>
      </c:tx>
    </c:title>
    <c:plotArea>
      <c:layout>
        <c:manualLayout>
          <c:layoutTarget val="inner"/>
          <c:xMode val="edge"/>
          <c:yMode val="edge"/>
          <c:x val="0.1179188538932622"/>
          <c:y val="0.23522502938666409"/>
          <c:w val="0.83111570428696357"/>
          <c:h val="0.65759689548009825"/>
        </c:manualLayout>
      </c:layout>
      <c:scatterChart>
        <c:scatterStyle val="smoothMarker"/>
        <c:ser>
          <c:idx val="0"/>
          <c:order val="0"/>
          <c:tx>
            <c:strRef>
              <c:f>Statistics!$T$61</c:f>
              <c:strCache>
                <c:ptCount val="1"/>
                <c:pt idx="0">
                  <c:v>Дисперсия органических строений (R ≈ 0.12)</c:v>
                </c:pt>
              </c:strCache>
            </c:strRef>
          </c:tx>
          <c:xVal>
            <c:numRef>
              <c:f>Statistics!$I$89:$I$90</c:f>
              <c:numCache>
                <c:formatCode>0</c:formatCode>
                <c:ptCount val="2"/>
                <c:pt idx="0">
                  <c:v>22</c:v>
                </c:pt>
                <c:pt idx="1">
                  <c:v>115</c:v>
                </c:pt>
              </c:numCache>
            </c:numRef>
          </c:xVal>
          <c:yVal>
            <c:numRef>
              <c:f>Statistics!$M$109:$M$110</c:f>
              <c:numCache>
                <c:formatCode>General</c:formatCode>
                <c:ptCount val="2"/>
                <c:pt idx="0">
                  <c:v>-2.2718325269474109</c:v>
                </c:pt>
                <c:pt idx="1">
                  <c:v>-2.9444959246325828</c:v>
                </c:pt>
              </c:numCache>
            </c:numRef>
          </c:yVal>
          <c:smooth val="1"/>
        </c:ser>
        <c:axId val="93862528"/>
        <c:axId val="93864704"/>
      </c:scatterChart>
      <c:valAx>
        <c:axId val="938625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Число</a:t>
                </a:r>
                <a:r>
                  <a:rPr lang="ru-RU" baseline="0"/>
                  <a:t> отраслей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73076137357831294"/>
              <c:y val="0.16889554449865538"/>
            </c:manualLayout>
          </c:layout>
        </c:title>
        <c:numFmt formatCode="0" sourceLinked="1"/>
        <c:majorTickMark val="none"/>
        <c:tickLblPos val="nextTo"/>
        <c:crossAx val="93864704"/>
        <c:crosses val="autoZero"/>
        <c:crossBetween val="midCat"/>
      </c:valAx>
      <c:valAx>
        <c:axId val="93864704"/>
        <c:scaling>
          <c:orientation val="minMax"/>
          <c:max val="-2"/>
          <c:min val="-3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ru-RU"/>
                  <a:t>Десятичный</a:t>
                </a:r>
                <a:r>
                  <a:rPr lang="ru-RU" baseline="0"/>
                  <a:t> л</a:t>
                </a:r>
                <a:r>
                  <a:rPr lang="ru-RU"/>
                  <a:t>огарифм</a:t>
                </a:r>
                <a:r>
                  <a:rPr lang="ru-RU" baseline="0"/>
                  <a:t> дисперсии.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11944444444444446"/>
              <c:y val="0.72185562694233774"/>
            </c:manualLayout>
          </c:layout>
        </c:title>
        <c:numFmt formatCode="General" sourceLinked="1"/>
        <c:majorTickMark val="none"/>
        <c:tickLblPos val="nextTo"/>
        <c:crossAx val="938625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1733333333333362"/>
          <c:y val="0.35836529636249975"/>
          <c:w val="0.31877777777778393"/>
          <c:h val="0.17451652899215819"/>
        </c:manualLayout>
      </c:layout>
      <c:txPr>
        <a:bodyPr/>
        <a:lstStyle/>
        <a:p>
          <a:pPr>
            <a:defRPr sz="800" b="1"/>
          </a:pPr>
          <a:endParaRPr lang="ru-RU"/>
        </a:p>
      </c:txPr>
    </c:legend>
    <c:plotVisOnly val="1"/>
  </c:chart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000"/>
            </a:pPr>
            <a:r>
              <a:rPr lang="ru-RU" sz="1000"/>
              <a:t>Дисперсия коэффициентов трансформирования </a:t>
            </a:r>
            <a:r>
              <a:rPr lang="en-US" sz="1000"/>
              <a:t>x</a:t>
            </a:r>
            <a:r>
              <a:rPr lang="ru-RU" sz="1000"/>
              <a:t> и </a:t>
            </a:r>
            <a:r>
              <a:rPr lang="en-US" sz="1000"/>
              <a:t>y </a:t>
            </a:r>
            <a:r>
              <a:rPr lang="ru-RU" sz="1000"/>
              <a:t>в зависимости от числа отраслей (структура-2).</a:t>
            </a:r>
          </a:p>
        </c:rich>
      </c:tx>
    </c:title>
    <c:plotArea>
      <c:layout>
        <c:manualLayout>
          <c:layoutTarget val="inner"/>
          <c:xMode val="edge"/>
          <c:yMode val="edge"/>
          <c:x val="8.8391294838145187E-2"/>
          <c:y val="0.23385425780110841"/>
          <c:w val="0.83771281714785661"/>
          <c:h val="0.64482611548557411"/>
        </c:manualLayout>
      </c:layout>
      <c:scatterChart>
        <c:scatterStyle val="lineMarker"/>
        <c:ser>
          <c:idx val="0"/>
          <c:order val="0"/>
          <c:tx>
            <c:strRef>
              <c:f>Statistics!$T$92</c:f>
              <c:strCache>
                <c:ptCount val="1"/>
                <c:pt idx="0">
                  <c:v>Дисперсия x (R ≈ 0.12)</c:v>
                </c:pt>
              </c:strCache>
            </c:strRef>
          </c:tx>
          <c:xVal>
            <c:numRef>
              <c:f>Statistics!$I$89:$I$90</c:f>
              <c:numCache>
                <c:formatCode>0</c:formatCode>
                <c:ptCount val="2"/>
                <c:pt idx="0">
                  <c:v>22</c:v>
                </c:pt>
                <c:pt idx="1">
                  <c:v>115</c:v>
                </c:pt>
              </c:numCache>
            </c:numRef>
          </c:xVal>
          <c:yVal>
            <c:numRef>
              <c:f>Statistics!$M$89:$M$90</c:f>
              <c:numCache>
                <c:formatCode>General</c:formatCode>
                <c:ptCount val="2"/>
                <c:pt idx="0">
                  <c:v>-4.9129851835072289</c:v>
                </c:pt>
                <c:pt idx="1">
                  <c:v>-8.0067239246069786</c:v>
                </c:pt>
              </c:numCache>
            </c:numRef>
          </c:yVal>
        </c:ser>
        <c:ser>
          <c:idx val="1"/>
          <c:order val="1"/>
          <c:tx>
            <c:strRef>
              <c:f>Statistics!$T$93</c:f>
              <c:strCache>
                <c:ptCount val="1"/>
                <c:pt idx="0">
                  <c:v>Дисперсия y (R ≈ 0.12)</c:v>
                </c:pt>
              </c:strCache>
            </c:strRef>
          </c:tx>
          <c:xVal>
            <c:numRef>
              <c:f>Statistics!$I$89:$I$90</c:f>
              <c:numCache>
                <c:formatCode>0</c:formatCode>
                <c:ptCount val="2"/>
                <c:pt idx="0">
                  <c:v>22</c:v>
                </c:pt>
                <c:pt idx="1">
                  <c:v>115</c:v>
                </c:pt>
              </c:numCache>
            </c:numRef>
          </c:xVal>
          <c:yVal>
            <c:numRef>
              <c:f>Statistics!$N$89:$N$90</c:f>
              <c:numCache>
                <c:formatCode>General</c:formatCode>
                <c:ptCount val="2"/>
                <c:pt idx="0">
                  <c:v>-5.761028272636711</c:v>
                </c:pt>
                <c:pt idx="1">
                  <c:v>-8.5958435004016032</c:v>
                </c:pt>
              </c:numCache>
            </c:numRef>
          </c:yVal>
        </c:ser>
        <c:axId val="93894144"/>
        <c:axId val="93896064"/>
      </c:scatterChart>
      <c:valAx>
        <c:axId val="938941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Число</a:t>
                </a:r>
                <a:r>
                  <a:rPr lang="ru-RU" baseline="0"/>
                  <a:t> отраслей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72953237095362389"/>
              <c:y val="0.1518285214348207"/>
            </c:manualLayout>
          </c:layout>
        </c:title>
        <c:numFmt formatCode="0" sourceLinked="1"/>
        <c:majorTickMark val="none"/>
        <c:tickLblPos val="nextTo"/>
        <c:crossAx val="93896064"/>
        <c:crosses val="autoZero"/>
        <c:crossBetween val="midCat"/>
      </c:valAx>
      <c:valAx>
        <c:axId val="93896064"/>
        <c:scaling>
          <c:orientation val="minMax"/>
          <c:max val="-4"/>
          <c:min val="-9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ru-RU" sz="800"/>
                  <a:t>Десятичный</a:t>
                </a:r>
                <a:r>
                  <a:rPr lang="ru-RU" sz="800" baseline="0"/>
                  <a:t> логарифм дисперсии</a:t>
                </a:r>
                <a:endParaRPr lang="ru-RU" sz="800"/>
              </a:p>
            </c:rich>
          </c:tx>
          <c:layout>
            <c:manualLayout>
              <c:xMode val="edge"/>
              <c:yMode val="edge"/>
              <c:x val="9.1666666666668215E-2"/>
              <c:y val="0.74234361329834986"/>
            </c:manualLayout>
          </c:layout>
        </c:title>
        <c:numFmt formatCode="General" sourceLinked="1"/>
        <c:majorTickMark val="none"/>
        <c:tickLblPos val="nextTo"/>
        <c:crossAx val="93894144"/>
        <c:crosses val="autoZero"/>
        <c:crossBetween val="midCat"/>
        <c:majorUnit val="1"/>
      </c:valAx>
    </c:plotArea>
    <c:legend>
      <c:legendPos val="r"/>
      <c:layout>
        <c:manualLayout>
          <c:xMode val="edge"/>
          <c:yMode val="edge"/>
          <c:x val="0.6166666666666667"/>
          <c:y val="0.34971821230679501"/>
          <c:w val="0.29548622047244705"/>
          <c:h val="0.14406733641053718"/>
        </c:manualLayout>
      </c:layout>
      <c:txPr>
        <a:bodyPr/>
        <a:lstStyle/>
        <a:p>
          <a:pPr>
            <a:defRPr sz="800" b="1"/>
          </a:pPr>
          <a:endParaRPr lang="ru-RU"/>
        </a:p>
      </c:txPr>
    </c:legend>
    <c:plotVisOnly val="1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000"/>
            </a:pPr>
            <a:r>
              <a:rPr lang="ru-RU" sz="1000"/>
              <a:t>Дисперсия коэффициентов трансформирования </a:t>
            </a:r>
            <a:r>
              <a:rPr lang="en-US" sz="1000"/>
              <a:t>x </a:t>
            </a:r>
            <a:r>
              <a:rPr lang="ru-RU" sz="1000"/>
              <a:t>и </a:t>
            </a:r>
            <a:r>
              <a:rPr lang="en-US" sz="1000"/>
              <a:t>y </a:t>
            </a:r>
            <a:r>
              <a:rPr lang="ru-RU" sz="1000"/>
              <a:t>в зависимости от числа отраслей (структура-3).</a:t>
            </a:r>
          </a:p>
        </c:rich>
      </c:tx>
    </c:title>
    <c:plotArea>
      <c:layout>
        <c:manualLayout>
          <c:layoutTarget val="inner"/>
          <c:xMode val="edge"/>
          <c:yMode val="edge"/>
          <c:x val="8.8391294838145187E-2"/>
          <c:y val="0.23385425780110841"/>
          <c:w val="0.83771281714785661"/>
          <c:h val="0.64482611548557456"/>
        </c:manualLayout>
      </c:layout>
      <c:scatterChart>
        <c:scatterStyle val="lineMarker"/>
        <c:ser>
          <c:idx val="0"/>
          <c:order val="0"/>
          <c:tx>
            <c:strRef>
              <c:f>Statistics!$T$95</c:f>
              <c:strCache>
                <c:ptCount val="1"/>
                <c:pt idx="0">
                  <c:v>Дисперсия x (R ≈ 0.24)</c:v>
                </c:pt>
              </c:strCache>
            </c:strRef>
          </c:tx>
          <c:xVal>
            <c:numRef>
              <c:f>Statistics!$I$118:$I$120</c:f>
              <c:numCache>
                <c:formatCode>0</c:formatCode>
                <c:ptCount val="3"/>
                <c:pt idx="0">
                  <c:v>22</c:v>
                </c:pt>
                <c:pt idx="1">
                  <c:v>115</c:v>
                </c:pt>
                <c:pt idx="2">
                  <c:v>115</c:v>
                </c:pt>
              </c:numCache>
            </c:numRef>
          </c:xVal>
          <c:yVal>
            <c:numRef>
              <c:f>Statistics!$T$118:$T$120</c:f>
              <c:numCache>
                <c:formatCode>General</c:formatCode>
                <c:ptCount val="3"/>
                <c:pt idx="0">
                  <c:v>-6.1732230773835584</c:v>
                </c:pt>
                <c:pt idx="1">
                  <c:v>-7.7866367202785725</c:v>
                </c:pt>
                <c:pt idx="2">
                  <c:v>-7.8948199049311523</c:v>
                </c:pt>
              </c:numCache>
            </c:numRef>
          </c:yVal>
        </c:ser>
        <c:ser>
          <c:idx val="1"/>
          <c:order val="1"/>
          <c:tx>
            <c:strRef>
              <c:f>Statistics!$T$96</c:f>
              <c:strCache>
                <c:ptCount val="1"/>
                <c:pt idx="0">
                  <c:v>Дисперсия y (R ≈ 0.24)</c:v>
                </c:pt>
              </c:strCache>
            </c:strRef>
          </c:tx>
          <c:xVal>
            <c:numRef>
              <c:f>Statistics!$I$118:$I$120</c:f>
              <c:numCache>
                <c:formatCode>0</c:formatCode>
                <c:ptCount val="3"/>
                <c:pt idx="0">
                  <c:v>22</c:v>
                </c:pt>
                <c:pt idx="1">
                  <c:v>115</c:v>
                </c:pt>
                <c:pt idx="2">
                  <c:v>115</c:v>
                </c:pt>
              </c:numCache>
            </c:numRef>
          </c:xVal>
          <c:yVal>
            <c:numRef>
              <c:f>Statistics!$U$118:$U$120</c:f>
              <c:numCache>
                <c:formatCode>General</c:formatCode>
                <c:ptCount val="3"/>
                <c:pt idx="0">
                  <c:v>-4.852851422539592</c:v>
                </c:pt>
                <c:pt idx="1">
                  <c:v>-7.2378069496803885</c:v>
                </c:pt>
                <c:pt idx="2">
                  <c:v>-6.8484111625356467</c:v>
                </c:pt>
              </c:numCache>
            </c:numRef>
          </c:yVal>
        </c:ser>
        <c:axId val="93946240"/>
        <c:axId val="93948160"/>
      </c:scatterChart>
      <c:valAx>
        <c:axId val="939462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Число</a:t>
                </a:r>
                <a:r>
                  <a:rPr lang="ru-RU" baseline="0"/>
                  <a:t> отраслей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72953237095362367"/>
              <c:y val="0.1518285214348207"/>
            </c:manualLayout>
          </c:layout>
        </c:title>
        <c:numFmt formatCode="0" sourceLinked="1"/>
        <c:majorTickMark val="none"/>
        <c:tickLblPos val="nextTo"/>
        <c:crossAx val="93948160"/>
        <c:crosses val="autoZero"/>
        <c:crossBetween val="midCat"/>
      </c:valAx>
      <c:valAx>
        <c:axId val="93948160"/>
        <c:scaling>
          <c:orientation val="minMax"/>
          <c:max val="-4"/>
          <c:min val="-9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ru-RU" sz="800"/>
                  <a:t>Десятичный</a:t>
                </a:r>
                <a:r>
                  <a:rPr lang="ru-RU" sz="800" baseline="0"/>
                  <a:t> логарифм дисперсии</a:t>
                </a:r>
                <a:endParaRPr lang="ru-RU" sz="800"/>
              </a:p>
            </c:rich>
          </c:tx>
          <c:layout>
            <c:manualLayout>
              <c:xMode val="edge"/>
              <c:yMode val="edge"/>
              <c:x val="9.1666666666668228E-2"/>
              <c:y val="0.7423436132983503"/>
            </c:manualLayout>
          </c:layout>
        </c:title>
        <c:numFmt formatCode="General" sourceLinked="1"/>
        <c:majorTickMark val="none"/>
        <c:tickLblPos val="nextTo"/>
        <c:crossAx val="93946240"/>
        <c:crosses val="autoZero"/>
        <c:crossBetween val="midCat"/>
        <c:majorUnit val="1"/>
      </c:valAx>
    </c:plotArea>
    <c:legend>
      <c:legendPos val="r"/>
      <c:layout>
        <c:manualLayout>
          <c:xMode val="edge"/>
          <c:yMode val="edge"/>
          <c:x val="0.6166666666666667"/>
          <c:y val="0.34971821230679501"/>
          <c:w val="0.29548622047244727"/>
          <c:h val="0.14406733641053726"/>
        </c:manualLayout>
      </c:layout>
      <c:txPr>
        <a:bodyPr/>
        <a:lstStyle/>
        <a:p>
          <a:pPr>
            <a:defRPr sz="800" b="1"/>
          </a:pPr>
          <a:endParaRPr lang="ru-RU"/>
        </a:p>
      </c:txPr>
    </c:legend>
    <c:plotVisOnly val="1"/>
  </c:chart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000"/>
            </a:pPr>
            <a:r>
              <a:rPr lang="ru-RU" sz="1000"/>
              <a:t>Дисперсия органических строений департаментов в зависимости от числа отраслей (структура-3)</a:t>
            </a:r>
          </a:p>
        </c:rich>
      </c:tx>
    </c:title>
    <c:plotArea>
      <c:layout>
        <c:manualLayout>
          <c:layoutTarget val="inner"/>
          <c:xMode val="edge"/>
          <c:yMode val="edge"/>
          <c:x val="0.11791885389326216"/>
          <c:y val="0.23522502938666409"/>
          <c:w val="0.83111570428696357"/>
          <c:h val="0.65759689548009859"/>
        </c:manualLayout>
      </c:layout>
      <c:scatterChart>
        <c:scatterStyle val="lineMarker"/>
        <c:ser>
          <c:idx val="0"/>
          <c:order val="0"/>
          <c:tx>
            <c:strRef>
              <c:f>Statistics!$T$97</c:f>
              <c:strCache>
                <c:ptCount val="1"/>
                <c:pt idx="0">
                  <c:v>Дисперсия органических строений в стоимостях (R ≈ 0.24)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</c:marker>
          <c:trendline>
            <c:spPr>
              <a:ln w="19050">
                <a:solidFill>
                  <a:schemeClr val="accent1"/>
                </a:solidFill>
              </a:ln>
            </c:spPr>
            <c:trendlineType val="linear"/>
          </c:trendline>
          <c:xVal>
            <c:numRef>
              <c:f>Statistics!$I$118:$I$120</c:f>
              <c:numCache>
                <c:formatCode>0</c:formatCode>
                <c:ptCount val="3"/>
                <c:pt idx="0">
                  <c:v>22</c:v>
                </c:pt>
                <c:pt idx="1">
                  <c:v>115</c:v>
                </c:pt>
                <c:pt idx="2">
                  <c:v>115</c:v>
                </c:pt>
              </c:numCache>
            </c:numRef>
          </c:xVal>
          <c:yVal>
            <c:numRef>
              <c:f>Statistics!$J$118:$J$120</c:f>
              <c:numCache>
                <c:formatCode>0.000</c:formatCode>
                <c:ptCount val="3"/>
                <c:pt idx="0">
                  <c:v>0.45021283206367402</c:v>
                </c:pt>
                <c:pt idx="1">
                  <c:v>0.30191315149226172</c:v>
                </c:pt>
                <c:pt idx="2">
                  <c:v>0.29807084236709569</c:v>
                </c:pt>
              </c:numCache>
            </c:numRef>
          </c:yVal>
        </c:ser>
        <c:ser>
          <c:idx val="1"/>
          <c:order val="1"/>
          <c:tx>
            <c:strRef>
              <c:f>Statistics!$T$98</c:f>
              <c:strCache>
                <c:ptCount val="1"/>
                <c:pt idx="0">
                  <c:v>Дисперсия органических строений в ценах производства (R ≈ 0.24)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</c:trendline>
          <c:xVal>
            <c:numRef>
              <c:f>Statistics!$I$118:$I$120</c:f>
              <c:numCache>
                <c:formatCode>0</c:formatCode>
                <c:ptCount val="3"/>
                <c:pt idx="0">
                  <c:v>22</c:v>
                </c:pt>
                <c:pt idx="1">
                  <c:v>115</c:v>
                </c:pt>
                <c:pt idx="2">
                  <c:v>115</c:v>
                </c:pt>
              </c:numCache>
            </c:numRef>
          </c:xVal>
          <c:yVal>
            <c:numRef>
              <c:f>Statistics!$K$118:$K$120</c:f>
              <c:numCache>
                <c:formatCode>0.000</c:formatCode>
                <c:ptCount val="3"/>
                <c:pt idx="0">
                  <c:v>0.392791570365016</c:v>
                </c:pt>
                <c:pt idx="1">
                  <c:v>0.27548454487725227</c:v>
                </c:pt>
                <c:pt idx="2">
                  <c:v>0.26754714809105762</c:v>
                </c:pt>
              </c:numCache>
            </c:numRef>
          </c:yVal>
        </c:ser>
        <c:axId val="94069504"/>
        <c:axId val="94071424"/>
      </c:scatterChart>
      <c:valAx>
        <c:axId val="940695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Число</a:t>
                </a:r>
                <a:r>
                  <a:rPr lang="ru-RU" baseline="0"/>
                  <a:t> отраслей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47798359580052902"/>
              <c:y val="0.8152368606363225"/>
            </c:manualLayout>
          </c:layout>
        </c:title>
        <c:numFmt formatCode="0" sourceLinked="1"/>
        <c:majorTickMark val="none"/>
        <c:tickLblPos val="nextTo"/>
        <c:crossAx val="94071424"/>
        <c:crosses val="autoZero"/>
        <c:crossBetween val="midCat"/>
      </c:valAx>
      <c:valAx>
        <c:axId val="94071424"/>
        <c:scaling>
          <c:orientation val="minMax"/>
          <c:min val="0.25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ru-RU"/>
                  <a:t>Д</a:t>
                </a:r>
                <a:r>
                  <a:rPr lang="ru-RU" baseline="0"/>
                  <a:t>исперсия.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125"/>
              <c:y val="0.25031079956469438"/>
            </c:manualLayout>
          </c:layout>
        </c:title>
        <c:numFmt formatCode="0.000" sourceLinked="1"/>
        <c:majorTickMark val="none"/>
        <c:tickLblPos val="nextTo"/>
        <c:crossAx val="940695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0622222222222232"/>
          <c:y val="0.24860924396645734"/>
          <c:w val="0.45555555555555555"/>
          <c:h val="0.25545579668395108"/>
        </c:manualLayout>
      </c:layout>
      <c:txPr>
        <a:bodyPr/>
        <a:lstStyle/>
        <a:p>
          <a:pPr>
            <a:defRPr sz="800" b="1"/>
          </a:pPr>
          <a:endParaRPr lang="ru-RU"/>
        </a:p>
      </c:txPr>
    </c:legend>
    <c:plotVisOnly val="1"/>
  </c:chart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Дисперсия органических стоимостных строений,</a:t>
            </a:r>
            <a:r>
              <a:rPr lang="ru-RU" sz="1100" baseline="0"/>
              <a:t> делённая на среднее строение</a:t>
            </a:r>
            <a:r>
              <a:rPr lang="ru-RU" sz="1100"/>
              <a:t> в зависимости от числа отраслей (структура-0). </a:t>
            </a:r>
          </a:p>
        </c:rich>
      </c:tx>
    </c:title>
    <c:plotArea>
      <c:layout>
        <c:manualLayout>
          <c:layoutTarget val="inner"/>
          <c:xMode val="edge"/>
          <c:yMode val="edge"/>
          <c:x val="0.18611329833770962"/>
          <c:y val="0.21741907261592547"/>
          <c:w val="0.76221303587051614"/>
          <c:h val="0.66126130067074962"/>
        </c:manualLayout>
      </c:layout>
      <c:scatterChart>
        <c:scatterStyle val="lineMarker"/>
        <c:ser>
          <c:idx val="0"/>
          <c:order val="0"/>
          <c:xVal>
            <c:numRef>
              <c:f>Statistics!$A$215:$A$221</c:f>
              <c:numCache>
                <c:formatCode>General</c:formatCode>
                <c:ptCount val="7"/>
                <c:pt idx="0">
                  <c:v>22</c:v>
                </c:pt>
                <c:pt idx="1">
                  <c:v>115</c:v>
                </c:pt>
                <c:pt idx="2">
                  <c:v>205</c:v>
                </c:pt>
                <c:pt idx="3">
                  <c:v>325</c:v>
                </c:pt>
                <c:pt idx="4">
                  <c:v>435</c:v>
                </c:pt>
                <c:pt idx="5">
                  <c:v>650</c:v>
                </c:pt>
                <c:pt idx="6">
                  <c:v>3400</c:v>
                </c:pt>
              </c:numCache>
            </c:numRef>
          </c:xVal>
          <c:yVal>
            <c:numRef>
              <c:f>Statistics!$O$215:$O$221</c:f>
              <c:numCache>
                <c:formatCode>General</c:formatCode>
                <c:ptCount val="7"/>
                <c:pt idx="0">
                  <c:v>-0.2792904873957559</c:v>
                </c:pt>
                <c:pt idx="1">
                  <c:v>-0.8740427525790917</c:v>
                </c:pt>
                <c:pt idx="2">
                  <c:v>-1.3338568692476773</c:v>
                </c:pt>
                <c:pt idx="3">
                  <c:v>-2.41108882108982</c:v>
                </c:pt>
                <c:pt idx="4">
                  <c:v>-2.0983943604382191</c:v>
                </c:pt>
                <c:pt idx="5">
                  <c:v>-2.9243961748367258</c:v>
                </c:pt>
                <c:pt idx="6">
                  <c:v>-3.4976021160073882</c:v>
                </c:pt>
              </c:numCache>
            </c:numRef>
          </c:yVal>
        </c:ser>
        <c:axId val="94098944"/>
        <c:axId val="94100864"/>
      </c:scatterChart>
      <c:valAx>
        <c:axId val="940989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Число</a:t>
                </a:r>
                <a:r>
                  <a:rPr lang="ru-RU" baseline="0"/>
                  <a:t> отраслей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70200437445320063"/>
              <c:y val="0.30460629921260329"/>
            </c:manualLayout>
          </c:layout>
        </c:title>
        <c:numFmt formatCode="General" sourceLinked="1"/>
        <c:majorTickMark val="none"/>
        <c:tickLblPos val="nextTo"/>
        <c:crossAx val="94100864"/>
        <c:crosses val="autoZero"/>
        <c:crossBetween val="midCat"/>
      </c:valAx>
      <c:valAx>
        <c:axId val="9410086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Десятичный</a:t>
                </a:r>
                <a:r>
                  <a:rPr lang="ru-RU" baseline="0"/>
                  <a:t> логарифм дисперсии.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4.4444444444444502E-2"/>
              <c:y val="0.15174176144648802"/>
            </c:manualLayout>
          </c:layout>
        </c:title>
        <c:numFmt formatCode="General" sourceLinked="1"/>
        <c:majorTickMark val="none"/>
        <c:tickLblPos val="nextTo"/>
        <c:crossAx val="94098944"/>
        <c:crosses val="autoZero"/>
        <c:crossBetween val="midCat"/>
      </c:valAx>
    </c:plotArea>
    <c:plotVisOnly val="1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/>
            </a:pPr>
            <a:r>
              <a:rPr lang="ru-RU" sz="1200"/>
              <a:t>Относительное</a:t>
            </a:r>
            <a:r>
              <a:rPr lang="ru-RU" sz="1200" baseline="0"/>
              <a:t> отклонение стоимости и цены выпуска </a:t>
            </a:r>
            <a:r>
              <a:rPr lang="en-US" sz="1200" baseline="0"/>
              <a:t>Abs[(W' - W) : W] (</a:t>
            </a:r>
            <a:r>
              <a:rPr lang="ru-RU" sz="1200" baseline="0"/>
              <a:t>структура-01).</a:t>
            </a:r>
            <a:endParaRPr lang="ru-RU" sz="1200"/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Statistics!$L$258</c:f>
              <c:strCache>
                <c:ptCount val="1"/>
                <c:pt idx="0">
                  <c:v>N = 115</c:v>
                </c:pt>
              </c:strCache>
            </c:strRef>
          </c:tx>
          <c:xVal>
            <c:numRef>
              <c:f>Statistics!$G$235:$G$238</c:f>
              <c:numCache>
                <c:formatCode>General</c:formatCode>
                <c:ptCount val="4"/>
                <c:pt idx="0">
                  <c:v>2.0391699999999999E-3</c:v>
                </c:pt>
                <c:pt idx="1">
                  <c:v>2.91335E-2</c:v>
                </c:pt>
                <c:pt idx="2">
                  <c:v>4.91797E-2</c:v>
                </c:pt>
                <c:pt idx="3">
                  <c:v>0.13179299999999999</c:v>
                </c:pt>
              </c:numCache>
            </c:numRef>
          </c:xVal>
          <c:yVal>
            <c:numRef>
              <c:f>Statistics!$F$235:$F$238</c:f>
              <c:numCache>
                <c:formatCode>0.00%</c:formatCode>
                <c:ptCount val="4"/>
                <c:pt idx="0">
                  <c:v>1.1019503036312499E-3</c:v>
                </c:pt>
                <c:pt idx="1">
                  <c:v>8.9266687598713763E-3</c:v>
                </c:pt>
                <c:pt idx="2">
                  <c:v>1.0520757995226939E-2</c:v>
                </c:pt>
                <c:pt idx="3">
                  <c:v>7.7415907973043983E-3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Statistics!$L$259</c:f>
              <c:strCache>
                <c:ptCount val="1"/>
                <c:pt idx="0">
                  <c:v>N = 435</c:v>
                </c:pt>
              </c:strCache>
            </c:strRef>
          </c:tx>
          <c:xVal>
            <c:numRef>
              <c:f>Statistics!$G$239:$G$241</c:f>
              <c:numCache>
                <c:formatCode>General</c:formatCode>
                <c:ptCount val="3"/>
                <c:pt idx="0">
                  <c:v>5.9929800000000002E-3</c:v>
                </c:pt>
                <c:pt idx="1">
                  <c:v>9.9907499999999996E-2</c:v>
                </c:pt>
                <c:pt idx="2">
                  <c:v>0.231215</c:v>
                </c:pt>
              </c:numCache>
            </c:numRef>
          </c:xVal>
          <c:yVal>
            <c:numRef>
              <c:f>Statistics!$F$239:$F$241</c:f>
              <c:numCache>
                <c:formatCode>0.00%</c:formatCode>
                <c:ptCount val="3"/>
                <c:pt idx="0">
                  <c:v>2.6817839667429176E-3</c:v>
                </c:pt>
                <c:pt idx="1">
                  <c:v>1.3841164654822208E-2</c:v>
                </c:pt>
                <c:pt idx="2">
                  <c:v>1.5168255946035891E-3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Statistics!$L$260</c:f>
              <c:strCache>
                <c:ptCount val="1"/>
                <c:pt idx="0">
                  <c:v>N = 650</c:v>
                </c:pt>
              </c:strCache>
            </c:strRef>
          </c:tx>
          <c:xVal>
            <c:numRef>
              <c:f>Statistics!$G$242:$G$244</c:f>
              <c:numCache>
                <c:formatCode>General</c:formatCode>
                <c:ptCount val="3"/>
                <c:pt idx="0">
                  <c:v>0.20844099999999999</c:v>
                </c:pt>
                <c:pt idx="1">
                  <c:v>0.136937</c:v>
                </c:pt>
                <c:pt idx="2">
                  <c:v>2.05149E-3</c:v>
                </c:pt>
              </c:numCache>
            </c:numRef>
          </c:xVal>
          <c:yVal>
            <c:numRef>
              <c:f>Statistics!$F$242:$F$244</c:f>
              <c:numCache>
                <c:formatCode>0.00%</c:formatCode>
                <c:ptCount val="3"/>
                <c:pt idx="0">
                  <c:v>2.1835933024403368E-3</c:v>
                </c:pt>
                <c:pt idx="1">
                  <c:v>6.8443163922412287E-3</c:v>
                </c:pt>
                <c:pt idx="2">
                  <c:v>7.5413659081586789E-4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Statistics!$L$257</c:f>
              <c:strCache>
                <c:ptCount val="1"/>
                <c:pt idx="0">
                  <c:v>N = 22</c:v>
                </c:pt>
              </c:strCache>
            </c:strRef>
          </c:tx>
          <c:xVal>
            <c:numRef>
              <c:f>Statistics!$G$230:$G$234</c:f>
              <c:numCache>
                <c:formatCode>General</c:formatCode>
                <c:ptCount val="5"/>
                <c:pt idx="0">
                  <c:v>9.27213E-3</c:v>
                </c:pt>
                <c:pt idx="1">
                  <c:v>3.93055E-2</c:v>
                </c:pt>
                <c:pt idx="2">
                  <c:v>4.4921500000000003E-2</c:v>
                </c:pt>
                <c:pt idx="3">
                  <c:v>0.106529</c:v>
                </c:pt>
                <c:pt idx="4">
                  <c:v>0.117753</c:v>
                </c:pt>
              </c:numCache>
            </c:numRef>
          </c:xVal>
          <c:yVal>
            <c:numRef>
              <c:f>Statistics!$F$230:$F$234</c:f>
              <c:numCache>
                <c:formatCode>0.00%</c:formatCode>
                <c:ptCount val="5"/>
                <c:pt idx="0">
                  <c:v>4.5719988554539567E-3</c:v>
                </c:pt>
                <c:pt idx="1">
                  <c:v>1.6813658039521808E-2</c:v>
                </c:pt>
                <c:pt idx="2">
                  <c:v>2.7493073869163165E-2</c:v>
                </c:pt>
                <c:pt idx="3">
                  <c:v>2.5547566047710434E-2</c:v>
                </c:pt>
                <c:pt idx="4">
                  <c:v>6.9566501861339294E-3</c:v>
                </c:pt>
              </c:numCache>
            </c:numRef>
          </c:yVal>
          <c:smooth val="1"/>
        </c:ser>
        <c:ser>
          <c:idx val="4"/>
          <c:order val="4"/>
          <c:spPr>
            <a:ln w="15875">
              <a:solidFill>
                <a:schemeClr val="tx1"/>
              </a:solidFill>
              <a:prstDash val="sysDash"/>
              <a:headEnd type="none"/>
              <a:tailEnd type="triangle"/>
            </a:ln>
          </c:spPr>
          <c:marker>
            <c:symbol val="none"/>
          </c:marker>
          <c:xVal>
            <c:numRef>
              <c:f>Statistics!$L$254:$L$255</c:f>
              <c:numCache>
                <c:formatCode>General</c:formatCode>
                <c:ptCount val="2"/>
                <c:pt idx="0">
                  <c:v>0.03</c:v>
                </c:pt>
                <c:pt idx="1">
                  <c:v>0.03</c:v>
                </c:pt>
              </c:numCache>
            </c:numRef>
          </c:xVal>
          <c:yVal>
            <c:numRef>
              <c:f>Statistics!$M$254:$M$255</c:f>
              <c:numCache>
                <c:formatCode>General</c:formatCode>
                <c:ptCount val="2"/>
                <c:pt idx="0">
                  <c:v>3</c:v>
                </c:pt>
                <c:pt idx="1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Statistics!$L$261</c:f>
              <c:strCache>
                <c:ptCount val="1"/>
                <c:pt idx="0">
                  <c:v>N = 3400</c:v>
                </c:pt>
              </c:strCache>
            </c:strRef>
          </c:tx>
          <c:xVal>
            <c:numRef>
              <c:f>Statistics!$G$245:$G$250</c:f>
              <c:numCache>
                <c:formatCode>General</c:formatCode>
                <c:ptCount val="6"/>
                <c:pt idx="0">
                  <c:v>0.38939600000000002</c:v>
                </c:pt>
                <c:pt idx="1">
                  <c:v>0.27494299999999999</c:v>
                </c:pt>
                <c:pt idx="2">
                  <c:v>0.180731</c:v>
                </c:pt>
                <c:pt idx="3">
                  <c:v>9.80515E-2</c:v>
                </c:pt>
                <c:pt idx="4">
                  <c:v>2.38493E-2</c:v>
                </c:pt>
                <c:pt idx="5">
                  <c:v>6.9146700000000004E-3</c:v>
                </c:pt>
              </c:numCache>
            </c:numRef>
          </c:xVal>
          <c:yVal>
            <c:numRef>
              <c:f>Statistics!$F$245:$F$250</c:f>
              <c:numCache>
                <c:formatCode>0.00%</c:formatCode>
                <c:ptCount val="6"/>
                <c:pt idx="0">
                  <c:v>5.0574315870623512E-3</c:v>
                </c:pt>
                <c:pt idx="1">
                  <c:v>3.329733523156759E-4</c:v>
                </c:pt>
                <c:pt idx="2">
                  <c:v>1.130947667086458E-2</c:v>
                </c:pt>
                <c:pt idx="3">
                  <c:v>2.1868559098584373E-2</c:v>
                </c:pt>
                <c:pt idx="4">
                  <c:v>8.609566620382491E-3</c:v>
                </c:pt>
                <c:pt idx="5">
                  <c:v>3.05128990284884E-3</c:v>
                </c:pt>
              </c:numCache>
            </c:numRef>
          </c:yVal>
          <c:smooth val="1"/>
        </c:ser>
        <c:axId val="94022656"/>
        <c:axId val="94110848"/>
      </c:scatterChart>
      <c:valAx>
        <c:axId val="94022656"/>
        <c:scaling>
          <c:orientation val="minMax"/>
          <c:max val="0.30000000000000032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Норма</a:t>
                </a:r>
                <a:r>
                  <a:rPr lang="ru-RU" baseline="0"/>
                  <a:t> прибыли, </a:t>
                </a:r>
                <a:r>
                  <a:rPr lang="en-US" baseline="0"/>
                  <a:t>R</a:t>
                </a:r>
                <a:endParaRPr lang="ru-RU"/>
              </a:p>
            </c:rich>
          </c:tx>
        </c:title>
        <c:numFmt formatCode="General" sourceLinked="1"/>
        <c:majorTickMark val="none"/>
        <c:tickLblPos val="nextTo"/>
        <c:crossAx val="94110848"/>
        <c:crosses val="autoZero"/>
        <c:crossBetween val="midCat"/>
      </c:valAx>
      <c:valAx>
        <c:axId val="94110848"/>
        <c:scaling>
          <c:orientation val="minMax"/>
          <c:max val="3.0000000000000002E-2"/>
        </c:scaling>
        <c:axPos val="l"/>
        <c:majorGridlines/>
        <c:numFmt formatCode="0.00%" sourceLinked="1"/>
        <c:majorTickMark val="none"/>
        <c:tickLblPos val="nextTo"/>
        <c:crossAx val="940226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9259711286089263"/>
          <c:y val="0.40101696689623456"/>
          <c:w val="0.20481955380577441"/>
          <c:h val="0.40981106823403685"/>
        </c:manualLayout>
      </c:layout>
    </c:legend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/>
            </a:pPr>
            <a:r>
              <a:rPr lang="ru-RU" sz="1200"/>
              <a:t>Дисперсия</a:t>
            </a:r>
            <a:r>
              <a:rPr lang="ru-RU" sz="1200" baseline="0"/>
              <a:t> органических строений в стоимостях, делённая на среднее строение (структура-01).</a:t>
            </a:r>
            <a:endParaRPr lang="ru-RU" sz="1200"/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Statistics!$D$259</c:f>
              <c:strCache>
                <c:ptCount val="1"/>
                <c:pt idx="0">
                  <c:v>R ≈ 0.13</c:v>
                </c:pt>
              </c:strCache>
            </c:strRef>
          </c:tx>
          <c:xVal>
            <c:numRef>
              <c:f>Statistics!$A$254:$A$256</c:f>
              <c:numCache>
                <c:formatCode>General</c:formatCode>
                <c:ptCount val="3"/>
                <c:pt idx="0">
                  <c:v>22</c:v>
                </c:pt>
                <c:pt idx="1">
                  <c:v>115</c:v>
                </c:pt>
                <c:pt idx="2">
                  <c:v>650</c:v>
                </c:pt>
              </c:numCache>
            </c:numRef>
          </c:xVal>
          <c:yVal>
            <c:numRef>
              <c:f>Statistics!$H$254:$H$256</c:f>
              <c:numCache>
                <c:formatCode>General</c:formatCode>
                <c:ptCount val="3"/>
                <c:pt idx="0">
                  <c:v>0.52180555262479178</c:v>
                </c:pt>
                <c:pt idx="1">
                  <c:v>0.32334808587200659</c:v>
                </c:pt>
                <c:pt idx="2">
                  <c:v>0.11304272162730579</c:v>
                </c:pt>
              </c:numCache>
            </c:numRef>
          </c:yVal>
        </c:ser>
        <c:axId val="94114944"/>
        <c:axId val="94132864"/>
      </c:scatterChart>
      <c:valAx>
        <c:axId val="941149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Число</a:t>
                </a:r>
                <a:r>
                  <a:rPr lang="ru-RU" baseline="0"/>
                  <a:t> отраслей</a:t>
                </a:r>
                <a:endParaRPr lang="ru-RU"/>
              </a:p>
            </c:rich>
          </c:tx>
        </c:title>
        <c:numFmt formatCode="General" sourceLinked="1"/>
        <c:majorTickMark val="none"/>
        <c:tickLblPos val="nextTo"/>
        <c:crossAx val="94132864"/>
        <c:crosses val="autoZero"/>
        <c:crossBetween val="midCat"/>
      </c:valAx>
      <c:valAx>
        <c:axId val="9413286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9411494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000"/>
            </a:pPr>
            <a:r>
              <a:rPr lang="ru-RU" sz="1000"/>
              <a:t>Стандартное</a:t>
            </a:r>
            <a:r>
              <a:rPr lang="ru-RU" sz="1000" baseline="0"/>
              <a:t> отклонение органического стоимостного строения, делённое на среднее стоимостное строение (структура-01).</a:t>
            </a:r>
            <a:endParaRPr lang="ru-RU" sz="1000"/>
          </a:p>
        </c:rich>
      </c:tx>
    </c:title>
    <c:plotArea>
      <c:layout/>
      <c:scatterChart>
        <c:scatterStyle val="smoothMarker"/>
        <c:ser>
          <c:idx val="0"/>
          <c:order val="0"/>
          <c:tx>
            <c:strRef>
              <c:f>Statistics!$L$257</c:f>
              <c:strCache>
                <c:ptCount val="1"/>
                <c:pt idx="0">
                  <c:v>N = 22</c:v>
                </c:pt>
              </c:strCache>
            </c:strRef>
          </c:tx>
          <c:xVal>
            <c:numRef>
              <c:f>Statistics!$G$230:$G$234</c:f>
              <c:numCache>
                <c:formatCode>General</c:formatCode>
                <c:ptCount val="5"/>
                <c:pt idx="0">
                  <c:v>9.27213E-3</c:v>
                </c:pt>
                <c:pt idx="1">
                  <c:v>3.93055E-2</c:v>
                </c:pt>
                <c:pt idx="2">
                  <c:v>4.4921500000000003E-2</c:v>
                </c:pt>
                <c:pt idx="3">
                  <c:v>0.106529</c:v>
                </c:pt>
                <c:pt idx="4">
                  <c:v>0.117753</c:v>
                </c:pt>
              </c:numCache>
            </c:numRef>
          </c:xVal>
          <c:yVal>
            <c:numRef>
              <c:f>Statistics!$I$230:$I$234</c:f>
              <c:numCache>
                <c:formatCode>General</c:formatCode>
                <c:ptCount val="5"/>
                <c:pt idx="0">
                  <c:v>0.21720659599070097</c:v>
                </c:pt>
                <c:pt idx="1">
                  <c:v>0.54107261617205304</c:v>
                </c:pt>
                <c:pt idx="2">
                  <c:v>0.64258956074331419</c:v>
                </c:pt>
                <c:pt idx="3">
                  <c:v>0.52111909794621092</c:v>
                </c:pt>
                <c:pt idx="4">
                  <c:v>0.2283232613582826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Statistics!$L$258</c:f>
              <c:strCache>
                <c:ptCount val="1"/>
                <c:pt idx="0">
                  <c:v>N = 115</c:v>
                </c:pt>
              </c:strCache>
            </c:strRef>
          </c:tx>
          <c:xVal>
            <c:numRef>
              <c:f>Statistics!$G$235:$G$238</c:f>
              <c:numCache>
                <c:formatCode>General</c:formatCode>
                <c:ptCount val="4"/>
                <c:pt idx="0">
                  <c:v>2.0391699999999999E-3</c:v>
                </c:pt>
                <c:pt idx="1">
                  <c:v>2.91335E-2</c:v>
                </c:pt>
                <c:pt idx="2">
                  <c:v>4.91797E-2</c:v>
                </c:pt>
                <c:pt idx="3">
                  <c:v>0.13179299999999999</c:v>
                </c:pt>
              </c:numCache>
            </c:numRef>
          </c:xVal>
          <c:yVal>
            <c:numRef>
              <c:f>Statistics!$I$235:$I$238</c:f>
              <c:numCache>
                <c:formatCode>General</c:formatCode>
                <c:ptCount val="4"/>
                <c:pt idx="0">
                  <c:v>0.4627479522201422</c:v>
                </c:pt>
                <c:pt idx="1">
                  <c:v>0.34990671526139294</c:v>
                </c:pt>
                <c:pt idx="2">
                  <c:v>0.30058511271628585</c:v>
                </c:pt>
                <c:pt idx="3">
                  <c:v>0.34148639364869593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Statistics!$L$259</c:f>
              <c:strCache>
                <c:ptCount val="1"/>
                <c:pt idx="0">
                  <c:v>N = 435</c:v>
                </c:pt>
              </c:strCache>
            </c:strRef>
          </c:tx>
          <c:xVal>
            <c:numRef>
              <c:f>Statistics!$G$239:$G$241</c:f>
              <c:numCache>
                <c:formatCode>General</c:formatCode>
                <c:ptCount val="3"/>
                <c:pt idx="0">
                  <c:v>5.9929800000000002E-3</c:v>
                </c:pt>
                <c:pt idx="1">
                  <c:v>9.9907499999999996E-2</c:v>
                </c:pt>
                <c:pt idx="2">
                  <c:v>0.231215</c:v>
                </c:pt>
              </c:numCache>
            </c:numRef>
          </c:xVal>
          <c:yVal>
            <c:numRef>
              <c:f>Statistics!$I$239:$I$241</c:f>
              <c:numCache>
                <c:formatCode>General</c:formatCode>
                <c:ptCount val="3"/>
                <c:pt idx="0">
                  <c:v>0.42527545468587391</c:v>
                </c:pt>
                <c:pt idx="1">
                  <c:v>0.38222646160056239</c:v>
                </c:pt>
                <c:pt idx="2">
                  <c:v>0.43623062311077448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Statistics!$L$260</c:f>
              <c:strCache>
                <c:ptCount val="1"/>
                <c:pt idx="0">
                  <c:v>N = 650</c:v>
                </c:pt>
              </c:strCache>
            </c:strRef>
          </c:tx>
          <c:xVal>
            <c:numRef>
              <c:f>Statistics!$G$242:$G$244</c:f>
              <c:numCache>
                <c:formatCode>General</c:formatCode>
                <c:ptCount val="3"/>
                <c:pt idx="0">
                  <c:v>0.20844099999999999</c:v>
                </c:pt>
                <c:pt idx="1">
                  <c:v>0.136937</c:v>
                </c:pt>
                <c:pt idx="2">
                  <c:v>2.05149E-3</c:v>
                </c:pt>
              </c:numCache>
            </c:numRef>
          </c:xVal>
          <c:yVal>
            <c:numRef>
              <c:f>Statistics!$I$242:$I$244</c:f>
              <c:numCache>
                <c:formatCode>General</c:formatCode>
                <c:ptCount val="3"/>
                <c:pt idx="0">
                  <c:v>0.41950827294542914</c:v>
                </c:pt>
                <c:pt idx="1">
                  <c:v>0.34090677458749302</c:v>
                </c:pt>
                <c:pt idx="2">
                  <c:v>0.44201794651261245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Statistics!$L$261</c:f>
              <c:strCache>
                <c:ptCount val="1"/>
                <c:pt idx="0">
                  <c:v>N = 3400</c:v>
                </c:pt>
              </c:strCache>
            </c:strRef>
          </c:tx>
          <c:xVal>
            <c:numRef>
              <c:f>Statistics!$G$245:$G$250</c:f>
              <c:numCache>
                <c:formatCode>General</c:formatCode>
                <c:ptCount val="6"/>
                <c:pt idx="0">
                  <c:v>0.38939600000000002</c:v>
                </c:pt>
                <c:pt idx="1">
                  <c:v>0.27494299999999999</c:v>
                </c:pt>
                <c:pt idx="2">
                  <c:v>0.180731</c:v>
                </c:pt>
                <c:pt idx="3">
                  <c:v>9.80515E-2</c:v>
                </c:pt>
                <c:pt idx="4">
                  <c:v>2.38493E-2</c:v>
                </c:pt>
                <c:pt idx="5">
                  <c:v>6.9146700000000004E-3</c:v>
                </c:pt>
              </c:numCache>
            </c:numRef>
          </c:xVal>
          <c:yVal>
            <c:numRef>
              <c:f>Statistics!$I$245:$I$250</c:f>
              <c:numCache>
                <c:formatCode>General</c:formatCode>
                <c:ptCount val="6"/>
                <c:pt idx="0">
                  <c:v>0.39919685157317619</c:v>
                </c:pt>
                <c:pt idx="1">
                  <c:v>0.40359593209885741</c:v>
                </c:pt>
                <c:pt idx="2">
                  <c:v>0.39258235550859771</c:v>
                </c:pt>
                <c:pt idx="3">
                  <c:v>0.41063316960568425</c:v>
                </c:pt>
                <c:pt idx="4">
                  <c:v>0.40444543852633758</c:v>
                </c:pt>
                <c:pt idx="5">
                  <c:v>0.41411726552801037</c:v>
                </c:pt>
              </c:numCache>
            </c:numRef>
          </c:yVal>
          <c:smooth val="1"/>
        </c:ser>
        <c:axId val="94189056"/>
        <c:axId val="94190976"/>
      </c:scatterChart>
      <c:valAx>
        <c:axId val="941890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Норма</a:t>
                </a:r>
                <a:r>
                  <a:rPr lang="ru-RU" baseline="0"/>
                  <a:t> прибыли, </a:t>
                </a:r>
                <a:r>
                  <a:rPr lang="en-US" baseline="0"/>
                  <a:t>R</a:t>
                </a:r>
                <a:endParaRPr lang="ru-RU"/>
              </a:p>
            </c:rich>
          </c:tx>
        </c:title>
        <c:numFmt formatCode="General" sourceLinked="1"/>
        <c:majorTickMark val="none"/>
        <c:tickLblPos val="nextTo"/>
        <c:crossAx val="94190976"/>
        <c:crosses val="autoZero"/>
        <c:crossBetween val="midCat"/>
      </c:valAx>
      <c:valAx>
        <c:axId val="9419097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9418905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/>
            </a:pPr>
            <a:r>
              <a:rPr lang="ru-RU" sz="1200"/>
              <a:t>Зависимость</a:t>
            </a:r>
            <a:r>
              <a:rPr lang="ru-RU" sz="1200" baseline="0"/>
              <a:t> </a:t>
            </a:r>
            <a:r>
              <a:rPr lang="en-US" sz="1200" baseline="0"/>
              <a:t>Lg[W]</a:t>
            </a:r>
            <a:r>
              <a:rPr lang="ru-RU" sz="1200" baseline="0"/>
              <a:t> (структура-01)</a:t>
            </a:r>
            <a:r>
              <a:rPr lang="en-US" sz="1200" baseline="0"/>
              <a:t>.</a:t>
            </a:r>
            <a:endParaRPr lang="ru-RU" sz="1200"/>
          </a:p>
        </c:rich>
      </c:tx>
    </c:title>
    <c:plotArea>
      <c:layout>
        <c:manualLayout>
          <c:layoutTarget val="inner"/>
          <c:xMode val="edge"/>
          <c:yMode val="edge"/>
          <c:x val="0.10279396325459322"/>
          <c:y val="0.19480351414406533"/>
          <c:w val="0.65545603674540764"/>
          <c:h val="0.55665062700495771"/>
        </c:manualLayout>
      </c:layout>
      <c:scatterChart>
        <c:scatterStyle val="smoothMarker"/>
        <c:ser>
          <c:idx val="0"/>
          <c:order val="0"/>
          <c:tx>
            <c:strRef>
              <c:f>Statistics!$L$257</c:f>
              <c:strCache>
                <c:ptCount val="1"/>
                <c:pt idx="0">
                  <c:v>N = 22</c:v>
                </c:pt>
              </c:strCache>
            </c:strRef>
          </c:tx>
          <c:xVal>
            <c:numRef>
              <c:f>Statistics!$G$230:$G$234</c:f>
              <c:numCache>
                <c:formatCode>General</c:formatCode>
                <c:ptCount val="5"/>
                <c:pt idx="0">
                  <c:v>9.27213E-3</c:v>
                </c:pt>
                <c:pt idx="1">
                  <c:v>3.93055E-2</c:v>
                </c:pt>
                <c:pt idx="2">
                  <c:v>4.4921500000000003E-2</c:v>
                </c:pt>
                <c:pt idx="3">
                  <c:v>0.106529</c:v>
                </c:pt>
                <c:pt idx="4">
                  <c:v>0.117753</c:v>
                </c:pt>
              </c:numCache>
            </c:numRef>
          </c:xVal>
          <c:yVal>
            <c:numRef>
              <c:f>Statistics!$K$230:$K$234</c:f>
              <c:numCache>
                <c:formatCode>General</c:formatCode>
                <c:ptCount val="5"/>
                <c:pt idx="0">
                  <c:v>6.0717623154488809</c:v>
                </c:pt>
                <c:pt idx="1">
                  <c:v>5.3076534593134461</c:v>
                </c:pt>
                <c:pt idx="2">
                  <c:v>5.0418304547757362</c:v>
                </c:pt>
                <c:pt idx="3">
                  <c:v>4.0550516121787723</c:v>
                </c:pt>
                <c:pt idx="4">
                  <c:v>4.2455515304962574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Statistics!$L$258</c:f>
              <c:strCache>
                <c:ptCount val="1"/>
                <c:pt idx="0">
                  <c:v>N = 115</c:v>
                </c:pt>
              </c:strCache>
            </c:strRef>
          </c:tx>
          <c:xVal>
            <c:numRef>
              <c:f>Statistics!$G$235:$G$238</c:f>
              <c:numCache>
                <c:formatCode>General</c:formatCode>
                <c:ptCount val="4"/>
                <c:pt idx="0">
                  <c:v>2.0391699999999999E-3</c:v>
                </c:pt>
                <c:pt idx="1">
                  <c:v>2.91335E-2</c:v>
                </c:pt>
                <c:pt idx="2">
                  <c:v>4.91797E-2</c:v>
                </c:pt>
                <c:pt idx="3">
                  <c:v>0.13179299999999999</c:v>
                </c:pt>
              </c:numCache>
            </c:numRef>
          </c:xVal>
          <c:yVal>
            <c:numRef>
              <c:f>Statistics!$K$235:$K$238</c:f>
              <c:numCache>
                <c:formatCode>General</c:formatCode>
                <c:ptCount val="4"/>
                <c:pt idx="0">
                  <c:v>8.4597756955528922</c:v>
                </c:pt>
                <c:pt idx="1">
                  <c:v>6.1694549067811693</c:v>
                </c:pt>
                <c:pt idx="2">
                  <c:v>5.634838036120521</c:v>
                </c:pt>
                <c:pt idx="3">
                  <c:v>5.013080150838455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Statistics!$L$259</c:f>
              <c:strCache>
                <c:ptCount val="1"/>
                <c:pt idx="0">
                  <c:v>N = 435</c:v>
                </c:pt>
              </c:strCache>
            </c:strRef>
          </c:tx>
          <c:xVal>
            <c:numRef>
              <c:f>Statistics!$G$239:$G$241</c:f>
              <c:numCache>
                <c:formatCode>General</c:formatCode>
                <c:ptCount val="3"/>
                <c:pt idx="0">
                  <c:v>5.9929800000000002E-3</c:v>
                </c:pt>
                <c:pt idx="1">
                  <c:v>9.9907499999999996E-2</c:v>
                </c:pt>
                <c:pt idx="2">
                  <c:v>0.231215</c:v>
                </c:pt>
              </c:numCache>
            </c:numRef>
          </c:xVal>
          <c:yVal>
            <c:numRef>
              <c:f>Statistics!$K$239:$K$241</c:f>
              <c:numCache>
                <c:formatCode>General</c:formatCode>
                <c:ptCount val="3"/>
                <c:pt idx="0">
                  <c:v>8.2380141288656894</c:v>
                </c:pt>
                <c:pt idx="1">
                  <c:v>5.619747192580264</c:v>
                </c:pt>
                <c:pt idx="2">
                  <c:v>4.8777939725000392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Statistics!$L$260</c:f>
              <c:strCache>
                <c:ptCount val="1"/>
                <c:pt idx="0">
                  <c:v>N = 650</c:v>
                </c:pt>
              </c:strCache>
            </c:strRef>
          </c:tx>
          <c:xVal>
            <c:numRef>
              <c:f>Statistics!$G$242:$G$244</c:f>
              <c:numCache>
                <c:formatCode>General</c:formatCode>
                <c:ptCount val="3"/>
                <c:pt idx="0">
                  <c:v>0.20844099999999999</c:v>
                </c:pt>
                <c:pt idx="1">
                  <c:v>0.136937</c:v>
                </c:pt>
                <c:pt idx="2">
                  <c:v>2.05149E-3</c:v>
                </c:pt>
              </c:numCache>
            </c:numRef>
          </c:xVal>
          <c:yVal>
            <c:numRef>
              <c:f>Statistics!$K$242:$K$244</c:f>
              <c:numCache>
                <c:formatCode>General</c:formatCode>
                <c:ptCount val="3"/>
                <c:pt idx="0">
                  <c:v>5.0023616878808621</c:v>
                </c:pt>
                <c:pt idx="1">
                  <c:v>5.2311933789980012</c:v>
                </c:pt>
                <c:pt idx="2">
                  <c:v>8.9762467933734467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Statistics!$L$261</c:f>
              <c:strCache>
                <c:ptCount val="1"/>
                <c:pt idx="0">
                  <c:v>N = 3400</c:v>
                </c:pt>
              </c:strCache>
            </c:strRef>
          </c:tx>
          <c:xVal>
            <c:numRef>
              <c:f>Statistics!$G$245:$G$250</c:f>
              <c:numCache>
                <c:formatCode>General</c:formatCode>
                <c:ptCount val="6"/>
                <c:pt idx="0">
                  <c:v>0.38939600000000002</c:v>
                </c:pt>
                <c:pt idx="1">
                  <c:v>0.27494299999999999</c:v>
                </c:pt>
                <c:pt idx="2">
                  <c:v>0.180731</c:v>
                </c:pt>
                <c:pt idx="3">
                  <c:v>9.80515E-2</c:v>
                </c:pt>
                <c:pt idx="4">
                  <c:v>2.38493E-2</c:v>
                </c:pt>
                <c:pt idx="5">
                  <c:v>6.9146700000000004E-3</c:v>
                </c:pt>
              </c:numCache>
            </c:numRef>
          </c:xVal>
          <c:yVal>
            <c:numRef>
              <c:f>Statistics!$K$245:$K$250</c:f>
              <c:numCache>
                <c:formatCode>General</c:formatCode>
                <c:ptCount val="6"/>
                <c:pt idx="0">
                  <c:v>5.6013138408159611</c:v>
                </c:pt>
                <c:pt idx="1">
                  <c:v>5.8073950436288628</c:v>
                </c:pt>
                <c:pt idx="2">
                  <c:v>6.1489776887158882</c:v>
                </c:pt>
                <c:pt idx="3">
                  <c:v>6.7206200397692157</c:v>
                </c:pt>
                <c:pt idx="4">
                  <c:v>7.8990257776624215</c:v>
                </c:pt>
                <c:pt idx="5">
                  <c:v>9.0280574740833011</c:v>
                </c:pt>
              </c:numCache>
            </c:numRef>
          </c:yVal>
          <c:smooth val="1"/>
        </c:ser>
        <c:axId val="94231168"/>
        <c:axId val="100537088"/>
      </c:scatterChart>
      <c:valAx>
        <c:axId val="942311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Норма</a:t>
                </a:r>
                <a:r>
                  <a:rPr lang="ru-RU" baseline="0"/>
                  <a:t> прибыли, </a:t>
                </a:r>
                <a:r>
                  <a:rPr lang="en-US" baseline="0"/>
                  <a:t>R</a:t>
                </a:r>
                <a:endParaRPr lang="ru-RU"/>
              </a:p>
            </c:rich>
          </c:tx>
        </c:title>
        <c:numFmt formatCode="General" sourceLinked="1"/>
        <c:majorTickMark val="none"/>
        <c:tickLblPos val="nextTo"/>
        <c:crossAx val="100537088"/>
        <c:crosses val="autoZero"/>
        <c:crossBetween val="midCat"/>
      </c:valAx>
      <c:valAx>
        <c:axId val="100537088"/>
        <c:scaling>
          <c:orientation val="minMax"/>
          <c:min val="3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Lg(W}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9.7222222222222224E-2"/>
              <c:y val="0.11385790317876822"/>
            </c:manualLayout>
          </c:layout>
        </c:title>
        <c:numFmt formatCode="General" sourceLinked="1"/>
        <c:majorTickMark val="none"/>
        <c:tickLblPos val="nextTo"/>
        <c:crossAx val="9423116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/>
            </a:pPr>
            <a:r>
              <a:rPr lang="ru-RU" sz="1200"/>
              <a:t>Зависимость</a:t>
            </a:r>
            <a:r>
              <a:rPr lang="ru-RU" sz="1200" baseline="0"/>
              <a:t> </a:t>
            </a:r>
            <a:r>
              <a:rPr lang="en-US" sz="1200" baseline="0"/>
              <a:t>Lg[k]</a:t>
            </a:r>
            <a:r>
              <a:rPr lang="ru-RU" sz="1200" baseline="0"/>
              <a:t> (структура-01).</a:t>
            </a:r>
            <a:endParaRPr lang="ru-RU" sz="1200"/>
          </a:p>
        </c:rich>
      </c:tx>
    </c:title>
    <c:plotArea>
      <c:layout>
        <c:manualLayout>
          <c:layoutTarget val="inner"/>
          <c:xMode val="edge"/>
          <c:yMode val="edge"/>
          <c:x val="0.12222440944882035"/>
          <c:y val="0.19480351414406533"/>
          <c:w val="0.63602559055119134"/>
          <c:h val="0.67049650043744535"/>
        </c:manualLayout>
      </c:layout>
      <c:scatterChart>
        <c:scatterStyle val="lineMarker"/>
        <c:ser>
          <c:idx val="0"/>
          <c:order val="0"/>
          <c:tx>
            <c:strRef>
              <c:f>Statistics!$L$257</c:f>
              <c:strCache>
                <c:ptCount val="1"/>
                <c:pt idx="0">
                  <c:v>N = 22</c:v>
                </c:pt>
              </c:strCache>
            </c:strRef>
          </c:tx>
          <c:xVal>
            <c:numRef>
              <c:f>Statistics!$G$230:$G$234</c:f>
              <c:numCache>
                <c:formatCode>General</c:formatCode>
                <c:ptCount val="5"/>
                <c:pt idx="0">
                  <c:v>9.27213E-3</c:v>
                </c:pt>
                <c:pt idx="1">
                  <c:v>3.93055E-2</c:v>
                </c:pt>
                <c:pt idx="2">
                  <c:v>4.4921500000000003E-2</c:v>
                </c:pt>
                <c:pt idx="3">
                  <c:v>0.106529</c:v>
                </c:pt>
                <c:pt idx="4">
                  <c:v>0.117753</c:v>
                </c:pt>
              </c:numCache>
            </c:numRef>
          </c:xVal>
          <c:yVal>
            <c:numRef>
              <c:f>Statistics!$M$230:$M$234</c:f>
              <c:numCache>
                <c:formatCode>General</c:formatCode>
                <c:ptCount val="5"/>
                <c:pt idx="0">
                  <c:v>1.3823409275521958</c:v>
                </c:pt>
                <c:pt idx="1">
                  <c:v>1.1901971797933448</c:v>
                </c:pt>
                <c:pt idx="2">
                  <c:v>1.051405308359586</c:v>
                </c:pt>
                <c:pt idx="3">
                  <c:v>0.28363471727184869</c:v>
                </c:pt>
                <c:pt idx="4">
                  <c:v>0.39580348469690613</c:v>
                </c:pt>
              </c:numCache>
            </c:numRef>
          </c:yVal>
        </c:ser>
        <c:ser>
          <c:idx val="1"/>
          <c:order val="1"/>
          <c:tx>
            <c:strRef>
              <c:f>Statistics!$L$258</c:f>
              <c:strCache>
                <c:ptCount val="1"/>
                <c:pt idx="0">
                  <c:v>N = 115</c:v>
                </c:pt>
              </c:strCache>
            </c:strRef>
          </c:tx>
          <c:xVal>
            <c:numRef>
              <c:f>Statistics!$G$235:$G$238</c:f>
              <c:numCache>
                <c:formatCode>General</c:formatCode>
                <c:ptCount val="4"/>
                <c:pt idx="0">
                  <c:v>2.0391699999999999E-3</c:v>
                </c:pt>
                <c:pt idx="1">
                  <c:v>2.91335E-2</c:v>
                </c:pt>
                <c:pt idx="2">
                  <c:v>4.91797E-2</c:v>
                </c:pt>
                <c:pt idx="3">
                  <c:v>0.13179299999999999</c:v>
                </c:pt>
              </c:numCache>
            </c:numRef>
          </c:xVal>
          <c:yVal>
            <c:numRef>
              <c:f>Statistics!$M$235:$M$238</c:f>
              <c:numCache>
                <c:formatCode>General</c:formatCode>
                <c:ptCount val="4"/>
                <c:pt idx="0">
                  <c:v>2.4151791098514579</c:v>
                </c:pt>
                <c:pt idx="1">
                  <c:v>1.1788446837747915</c:v>
                </c:pt>
                <c:pt idx="2">
                  <c:v>0.85625275185938454</c:v>
                </c:pt>
                <c:pt idx="3">
                  <c:v>0.4429234861518776</c:v>
                </c:pt>
              </c:numCache>
            </c:numRef>
          </c:yVal>
        </c:ser>
        <c:ser>
          <c:idx val="2"/>
          <c:order val="2"/>
          <c:tx>
            <c:strRef>
              <c:f>Statistics!$L$259</c:f>
              <c:strCache>
                <c:ptCount val="1"/>
                <c:pt idx="0">
                  <c:v>N = 435</c:v>
                </c:pt>
              </c:strCache>
            </c:strRef>
          </c:tx>
          <c:xVal>
            <c:numRef>
              <c:f>Statistics!$G$239:$G$241</c:f>
              <c:numCache>
                <c:formatCode>General</c:formatCode>
                <c:ptCount val="3"/>
                <c:pt idx="0">
                  <c:v>5.9929800000000002E-3</c:v>
                </c:pt>
                <c:pt idx="1">
                  <c:v>9.9907499999999996E-2</c:v>
                </c:pt>
                <c:pt idx="2">
                  <c:v>0.231215</c:v>
                </c:pt>
              </c:numCache>
            </c:numRef>
          </c:xVal>
          <c:yVal>
            <c:numRef>
              <c:f>Statistics!$M$239:$M$241</c:f>
              <c:numCache>
                <c:formatCode>General</c:formatCode>
                <c:ptCount val="3"/>
                <c:pt idx="0">
                  <c:v>2.0571357129427761</c:v>
                </c:pt>
                <c:pt idx="1">
                  <c:v>0.49432728502291357</c:v>
                </c:pt>
                <c:pt idx="2">
                  <c:v>-0.21442608212393541</c:v>
                </c:pt>
              </c:numCache>
            </c:numRef>
          </c:yVal>
        </c:ser>
        <c:ser>
          <c:idx val="3"/>
          <c:order val="3"/>
          <c:tx>
            <c:strRef>
              <c:f>Statistics!$L$260</c:f>
              <c:strCache>
                <c:ptCount val="1"/>
                <c:pt idx="0">
                  <c:v>N = 650</c:v>
                </c:pt>
              </c:strCache>
            </c:strRef>
          </c:tx>
          <c:xVal>
            <c:numRef>
              <c:f>Statistics!$G$242:$G$244</c:f>
              <c:numCache>
                <c:formatCode>General</c:formatCode>
                <c:ptCount val="3"/>
                <c:pt idx="0">
                  <c:v>0.20844099999999999</c:v>
                </c:pt>
                <c:pt idx="1">
                  <c:v>0.136937</c:v>
                </c:pt>
                <c:pt idx="2">
                  <c:v>2.05149E-3</c:v>
                </c:pt>
              </c:numCache>
            </c:numRef>
          </c:xVal>
          <c:yVal>
            <c:numRef>
              <c:f>Statistics!$M$242:$M$244</c:f>
              <c:numCache>
                <c:formatCode>General</c:formatCode>
                <c:ptCount val="3"/>
                <c:pt idx="0">
                  <c:v>-0.34490347869443794</c:v>
                </c:pt>
                <c:pt idx="1">
                  <c:v>-1.2028658371983794E-2</c:v>
                </c:pt>
                <c:pt idx="2">
                  <c:v>2.2899874776892291</c:v>
                </c:pt>
              </c:numCache>
            </c:numRef>
          </c:yVal>
        </c:ser>
        <c:ser>
          <c:idx val="4"/>
          <c:order val="4"/>
          <c:tx>
            <c:strRef>
              <c:f>Statistics!$L$261</c:f>
              <c:strCache>
                <c:ptCount val="1"/>
                <c:pt idx="0">
                  <c:v>N = 3400</c:v>
                </c:pt>
              </c:strCache>
            </c:strRef>
          </c:tx>
          <c:xVal>
            <c:numRef>
              <c:f>Statistics!$G$245:$G$250</c:f>
              <c:numCache>
                <c:formatCode>General</c:formatCode>
                <c:ptCount val="6"/>
                <c:pt idx="0">
                  <c:v>0.38939600000000002</c:v>
                </c:pt>
                <c:pt idx="1">
                  <c:v>0.27494299999999999</c:v>
                </c:pt>
                <c:pt idx="2">
                  <c:v>0.180731</c:v>
                </c:pt>
                <c:pt idx="3">
                  <c:v>9.80515E-2</c:v>
                </c:pt>
                <c:pt idx="4">
                  <c:v>2.38493E-2</c:v>
                </c:pt>
                <c:pt idx="5">
                  <c:v>6.9146700000000004E-3</c:v>
                </c:pt>
              </c:numCache>
            </c:numRef>
          </c:xVal>
          <c:yVal>
            <c:numRef>
              <c:f>Statistics!$M$245:$M$250</c:f>
              <c:numCache>
                <c:formatCode>General</c:formatCode>
                <c:ptCount val="6"/>
                <c:pt idx="0">
                  <c:v>-0.75351431113195655</c:v>
                </c:pt>
                <c:pt idx="1">
                  <c:v>-0.21864057436080522</c:v>
                </c:pt>
                <c:pt idx="2">
                  <c:v>0.18337968467805851</c:v>
                </c:pt>
                <c:pt idx="3">
                  <c:v>0.66753243490548253</c:v>
                </c:pt>
                <c:pt idx="4">
                  <c:v>1.3771903219976938</c:v>
                </c:pt>
                <c:pt idx="5">
                  <c:v>1.9812258208179492</c:v>
                </c:pt>
              </c:numCache>
            </c:numRef>
          </c:yVal>
        </c:ser>
        <c:axId val="100568448"/>
        <c:axId val="100591104"/>
      </c:scatterChart>
      <c:valAx>
        <c:axId val="1005684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Норма</a:t>
                </a:r>
                <a:r>
                  <a:rPr lang="ru-RU" baseline="0"/>
                  <a:t> прибыли, </a:t>
                </a:r>
                <a:r>
                  <a:rPr lang="en-US" baseline="0"/>
                  <a:t>R</a:t>
                </a:r>
                <a:endParaRPr lang="ru-RU"/>
              </a:p>
            </c:rich>
          </c:tx>
        </c:title>
        <c:numFmt formatCode="General" sourceLinked="1"/>
        <c:majorTickMark val="none"/>
        <c:tickLblPos val="nextTo"/>
        <c:crossAx val="100591104"/>
        <c:crosses val="autoZero"/>
        <c:crossBetween val="midCat"/>
      </c:valAx>
      <c:valAx>
        <c:axId val="100591104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Lg(k)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125"/>
              <c:y val="0.20318824730242249"/>
            </c:manualLayout>
          </c:layout>
        </c:title>
        <c:numFmt formatCode="General" sourceLinked="1"/>
        <c:majorTickMark val="none"/>
        <c:tickLblPos val="nextTo"/>
        <c:crossAx val="10056844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/>
            </a:pPr>
            <a:r>
              <a:rPr lang="en-US" sz="1200" baseline="0"/>
              <a:t>Abs[(W' - W) : W]</a:t>
            </a:r>
            <a:r>
              <a:rPr lang="ru-RU" sz="1200" baseline="0"/>
              <a:t> (структура-01).</a:t>
            </a:r>
            <a:endParaRPr lang="ru-RU" sz="1200"/>
          </a:p>
        </c:rich>
      </c:tx>
      <c:layout>
        <c:manualLayout>
          <c:xMode val="edge"/>
          <c:yMode val="edge"/>
          <c:x val="0.10023188405797102"/>
          <c:y val="2.7777777777778258E-2"/>
        </c:manualLayout>
      </c:layout>
    </c:title>
    <c:plotArea>
      <c:layout/>
      <c:scatterChart>
        <c:scatterStyle val="lineMarker"/>
        <c:ser>
          <c:idx val="0"/>
          <c:order val="0"/>
          <c:tx>
            <c:strRef>
              <c:f>Statistics!$D$259</c:f>
              <c:strCache>
                <c:ptCount val="1"/>
                <c:pt idx="0">
                  <c:v>R ≈ 0.13</c:v>
                </c:pt>
              </c:strCache>
            </c:strRef>
          </c:tx>
          <c:xVal>
            <c:numRef>
              <c:f>Statistics!$A$254:$A$256</c:f>
              <c:numCache>
                <c:formatCode>General</c:formatCode>
                <c:ptCount val="3"/>
                <c:pt idx="0">
                  <c:v>22</c:v>
                </c:pt>
                <c:pt idx="1">
                  <c:v>115</c:v>
                </c:pt>
                <c:pt idx="2">
                  <c:v>650</c:v>
                </c:pt>
              </c:numCache>
            </c:numRef>
          </c:xVal>
          <c:yVal>
            <c:numRef>
              <c:f>Statistics!$C$254:$C$256</c:f>
              <c:numCache>
                <c:formatCode>0.00%</c:formatCode>
                <c:ptCount val="3"/>
                <c:pt idx="0">
                  <c:v>2.5547566047710434E-2</c:v>
                </c:pt>
                <c:pt idx="1">
                  <c:v>7.7415907973043983E-3</c:v>
                </c:pt>
                <c:pt idx="2">
                  <c:v>6.8443163922412287E-3</c:v>
                </c:pt>
              </c:numCache>
            </c:numRef>
          </c:yVal>
        </c:ser>
        <c:axId val="100611968"/>
        <c:axId val="100622336"/>
      </c:scatterChart>
      <c:valAx>
        <c:axId val="1006119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Число</a:t>
                </a:r>
                <a:r>
                  <a:rPr lang="ru-RU" baseline="0"/>
                  <a:t> отраслей</a:t>
                </a:r>
                <a:endParaRPr lang="ru-RU"/>
              </a:p>
            </c:rich>
          </c:tx>
        </c:title>
        <c:numFmt formatCode="General" sourceLinked="1"/>
        <c:majorTickMark val="none"/>
        <c:tickLblPos val="nextTo"/>
        <c:crossAx val="100622336"/>
        <c:crosses val="autoZero"/>
        <c:crossBetween val="midCat"/>
      </c:valAx>
      <c:valAx>
        <c:axId val="100622336"/>
        <c:scaling>
          <c:orientation val="minMax"/>
        </c:scaling>
        <c:axPos val="l"/>
        <c:majorGridlines/>
        <c:numFmt formatCode="0.00%" sourceLinked="1"/>
        <c:majorTickMark val="none"/>
        <c:tickLblPos val="nextTo"/>
        <c:crossAx val="10061196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Abs[(W' - W) : W] (</a:t>
            </a:r>
            <a:r>
              <a:rPr lang="ru-RU" sz="1100"/>
              <a:t>структура-0).</a:t>
            </a:r>
          </a:p>
        </c:rich>
      </c:tx>
    </c:title>
    <c:plotArea>
      <c:layout>
        <c:manualLayout>
          <c:layoutTarget val="inner"/>
          <c:xMode val="edge"/>
          <c:yMode val="edge"/>
          <c:x val="0.12612699845375167"/>
          <c:y val="0.21741907261592558"/>
          <c:w val="0.82219928780696838"/>
          <c:h val="0.66126130067074962"/>
        </c:manualLayout>
      </c:layout>
      <c:scatterChart>
        <c:scatterStyle val="lineMarker"/>
        <c:ser>
          <c:idx val="0"/>
          <c:order val="0"/>
          <c:xVal>
            <c:numRef>
              <c:f>Statistics!$A$215:$A$221</c:f>
              <c:numCache>
                <c:formatCode>General</c:formatCode>
                <c:ptCount val="7"/>
                <c:pt idx="0">
                  <c:v>22</c:v>
                </c:pt>
                <c:pt idx="1">
                  <c:v>115</c:v>
                </c:pt>
                <c:pt idx="2">
                  <c:v>205</c:v>
                </c:pt>
                <c:pt idx="3">
                  <c:v>325</c:v>
                </c:pt>
                <c:pt idx="4">
                  <c:v>435</c:v>
                </c:pt>
                <c:pt idx="5">
                  <c:v>650</c:v>
                </c:pt>
                <c:pt idx="6">
                  <c:v>3400</c:v>
                </c:pt>
              </c:numCache>
            </c:numRef>
          </c:xVal>
          <c:yVal>
            <c:numRef>
              <c:f>Statistics!$F$215:$F$221</c:f>
              <c:numCache>
                <c:formatCode>0.00%</c:formatCode>
                <c:ptCount val="7"/>
                <c:pt idx="0">
                  <c:v>4.4478081516010869E-3</c:v>
                </c:pt>
                <c:pt idx="1">
                  <c:v>6.8919696711725372E-3</c:v>
                </c:pt>
                <c:pt idx="2">
                  <c:v>2.5251368399490837E-3</c:v>
                </c:pt>
                <c:pt idx="3">
                  <c:v>1.9250194006718651E-3</c:v>
                </c:pt>
                <c:pt idx="4">
                  <c:v>3.7371747756616831E-3</c:v>
                </c:pt>
                <c:pt idx="5">
                  <c:v>2.0942526881295811E-3</c:v>
                </c:pt>
                <c:pt idx="6">
                  <c:v>9.12399750855415E-4</c:v>
                </c:pt>
              </c:numCache>
            </c:numRef>
          </c:yVal>
        </c:ser>
        <c:axId val="100646272"/>
        <c:axId val="100664832"/>
      </c:scatterChart>
      <c:valAx>
        <c:axId val="1006462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Число</a:t>
                </a:r>
                <a:r>
                  <a:rPr lang="ru-RU" baseline="0"/>
                  <a:t> отраслей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70200437445320063"/>
              <c:y val="0.30460629921260357"/>
            </c:manualLayout>
          </c:layout>
        </c:title>
        <c:numFmt formatCode="General" sourceLinked="1"/>
        <c:majorTickMark val="none"/>
        <c:tickLblPos val="nextTo"/>
        <c:crossAx val="100664832"/>
        <c:crosses val="autoZero"/>
        <c:crossBetween val="midCat"/>
      </c:valAx>
      <c:valAx>
        <c:axId val="100664832"/>
        <c:scaling>
          <c:orientation val="minMax"/>
        </c:scaling>
        <c:axPos val="l"/>
        <c:majorGridlines/>
        <c:numFmt formatCode="0.00%" sourceLinked="1"/>
        <c:majorTickMark val="none"/>
        <c:tickLblPos val="nextTo"/>
        <c:crossAx val="100646272"/>
        <c:crosses val="autoZero"/>
        <c:crossBetween val="midCat"/>
      </c:valAx>
    </c:plotArea>
    <c:plotVisOnly val="1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Уровень ассимметрии матрицы общественного воспроизводства (структура-0).</a:t>
            </a:r>
          </a:p>
        </c:rich>
      </c:tx>
    </c:title>
    <c:plotArea>
      <c:layout>
        <c:manualLayout>
          <c:layoutTarget val="inner"/>
          <c:xMode val="edge"/>
          <c:yMode val="edge"/>
          <c:x val="0.18095675872732953"/>
          <c:y val="0.19326139788082269"/>
          <c:w val="0.76284006401408033"/>
          <c:h val="0.58580894980719656"/>
        </c:manualLayout>
      </c:layout>
      <c:scatterChart>
        <c:scatterStyle val="lineMarker"/>
        <c:ser>
          <c:idx val="0"/>
          <c:order val="0"/>
          <c:tx>
            <c:strRef>
              <c:f>Statistics!$X$210</c:f>
              <c:strCache>
                <c:ptCount val="1"/>
                <c:pt idx="0">
                  <c:v>для матрицы в ценах производства</c:v>
                </c:pt>
              </c:strCache>
            </c:strRef>
          </c:tx>
          <c:xVal>
            <c:numRef>
              <c:f>Statistics!$A$215:$A$221</c:f>
              <c:numCache>
                <c:formatCode>General</c:formatCode>
                <c:ptCount val="7"/>
                <c:pt idx="0">
                  <c:v>22</c:v>
                </c:pt>
                <c:pt idx="1">
                  <c:v>115</c:v>
                </c:pt>
                <c:pt idx="2">
                  <c:v>205</c:v>
                </c:pt>
                <c:pt idx="3">
                  <c:v>325</c:v>
                </c:pt>
                <c:pt idx="4">
                  <c:v>435</c:v>
                </c:pt>
                <c:pt idx="5">
                  <c:v>650</c:v>
                </c:pt>
                <c:pt idx="6">
                  <c:v>3400</c:v>
                </c:pt>
              </c:numCache>
            </c:numRef>
          </c:xVal>
          <c:yVal>
            <c:numRef>
              <c:f>Statistics!$P$215:$P$221</c:f>
              <c:numCache>
                <c:formatCode>0.00%</c:formatCode>
                <c:ptCount val="7"/>
                <c:pt idx="0">
                  <c:v>9.5714688675149952E-3</c:v>
                </c:pt>
                <c:pt idx="1">
                  <c:v>6.8185635111683643E-3</c:v>
                </c:pt>
                <c:pt idx="2">
                  <c:v>3.0179144807257032E-3</c:v>
                </c:pt>
                <c:pt idx="3">
                  <c:v>2.7182771454184644E-3</c:v>
                </c:pt>
                <c:pt idx="4">
                  <c:v>4.9920398192032141E-3</c:v>
                </c:pt>
                <c:pt idx="5">
                  <c:v>3.4479741531560893E-3</c:v>
                </c:pt>
                <c:pt idx="6">
                  <c:v>1.1803837893959589E-3</c:v>
                </c:pt>
              </c:numCache>
            </c:numRef>
          </c:yVal>
        </c:ser>
        <c:ser>
          <c:idx val="1"/>
          <c:order val="1"/>
          <c:tx>
            <c:strRef>
              <c:f>Statistics!$X$211</c:f>
              <c:strCache>
                <c:ptCount val="1"/>
                <c:pt idx="0">
                  <c:v>для матрицы в стоимостях</c:v>
                </c:pt>
              </c:strCache>
            </c:strRef>
          </c:tx>
          <c:xVal>
            <c:numRef>
              <c:f>Statistics!$R$215:$R$221</c:f>
              <c:numCache>
                <c:formatCode>General</c:formatCode>
                <c:ptCount val="7"/>
                <c:pt idx="0">
                  <c:v>22</c:v>
                </c:pt>
                <c:pt idx="1">
                  <c:v>115</c:v>
                </c:pt>
                <c:pt idx="2">
                  <c:v>205</c:v>
                </c:pt>
                <c:pt idx="3">
                  <c:v>325</c:v>
                </c:pt>
                <c:pt idx="4">
                  <c:v>435</c:v>
                </c:pt>
                <c:pt idx="5">
                  <c:v>650</c:v>
                </c:pt>
                <c:pt idx="6">
                  <c:v>3400</c:v>
                </c:pt>
              </c:numCache>
            </c:numRef>
          </c:xVal>
          <c:yVal>
            <c:numRef>
              <c:f>Statistics!$U$215:$U$221</c:f>
              <c:numCache>
                <c:formatCode>0.00%</c:formatCode>
                <c:ptCount val="7"/>
                <c:pt idx="0">
                  <c:v>1.6703338895698361E-2</c:v>
                </c:pt>
                <c:pt idx="1">
                  <c:v>6.7454417991853251E-3</c:v>
                </c:pt>
                <c:pt idx="2">
                  <c:v>2.1013185774073229E-3</c:v>
                </c:pt>
                <c:pt idx="3">
                  <c:v>4.8544920537493983E-3</c:v>
                </c:pt>
                <c:pt idx="4">
                  <c:v>2.1337620343813016E-3</c:v>
                </c:pt>
                <c:pt idx="5">
                  <c:v>4.0258316071646628E-3</c:v>
                </c:pt>
                <c:pt idx="6">
                  <c:v>1.2587523980358614E-3</c:v>
                </c:pt>
              </c:numCache>
            </c:numRef>
          </c:yVal>
        </c:ser>
        <c:axId val="100681216"/>
        <c:axId val="100683136"/>
      </c:scatterChart>
      <c:valAx>
        <c:axId val="1006812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Число</a:t>
                </a:r>
                <a:r>
                  <a:rPr lang="ru-RU" baseline="0"/>
                  <a:t> отраслей</a:t>
                </a:r>
                <a:endParaRPr lang="ru-RU"/>
              </a:p>
            </c:rich>
          </c:tx>
        </c:title>
        <c:numFmt formatCode="General" sourceLinked="1"/>
        <c:majorTickMark val="none"/>
        <c:tickLblPos val="nextTo"/>
        <c:crossAx val="100683136"/>
        <c:crosses val="autoZero"/>
        <c:crossBetween val="midCat"/>
      </c:valAx>
      <c:valAx>
        <c:axId val="100683136"/>
        <c:scaling>
          <c:orientation val="minMax"/>
        </c:scaling>
        <c:axPos val="l"/>
        <c:majorGridlines/>
        <c:numFmt formatCode="0.0%" sourceLinked="0"/>
        <c:majorTickMark val="none"/>
        <c:tickLblPos val="nextTo"/>
        <c:crossAx val="1006812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1558296902823896"/>
          <c:y val="0.21096367583681674"/>
          <c:w val="0.32722556028414268"/>
          <c:h val="0.24827840964323941"/>
        </c:manualLayout>
      </c:layout>
    </c:legend>
    <c:plotVisOnly val="1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Стандартное</a:t>
            </a:r>
            <a:r>
              <a:rPr lang="ru-RU" sz="1100" baseline="0"/>
              <a:t> отклонение органических стоимостных строений, делённое на среднее стоимостное строение (структура-0).</a:t>
            </a:r>
            <a:r>
              <a:rPr lang="ru-RU" sz="1100"/>
              <a:t> </a:t>
            </a:r>
          </a:p>
        </c:rich>
      </c:tx>
    </c:title>
    <c:plotArea>
      <c:layout>
        <c:manualLayout>
          <c:layoutTarget val="inner"/>
          <c:xMode val="edge"/>
          <c:yMode val="edge"/>
          <c:x val="0.18611329833770973"/>
          <c:y val="0.21741907261592558"/>
          <c:w val="0.76221303587051614"/>
          <c:h val="0.66126130067074962"/>
        </c:manualLayout>
      </c:layout>
      <c:scatterChart>
        <c:scatterStyle val="lineMarker"/>
        <c:ser>
          <c:idx val="0"/>
          <c:order val="0"/>
          <c:xVal>
            <c:numRef>
              <c:f>Statistics!$A$215:$A$221</c:f>
              <c:numCache>
                <c:formatCode>General</c:formatCode>
                <c:ptCount val="7"/>
                <c:pt idx="0">
                  <c:v>22</c:v>
                </c:pt>
                <c:pt idx="1">
                  <c:v>115</c:v>
                </c:pt>
                <c:pt idx="2">
                  <c:v>205</c:v>
                </c:pt>
                <c:pt idx="3">
                  <c:v>325</c:v>
                </c:pt>
                <c:pt idx="4">
                  <c:v>435</c:v>
                </c:pt>
                <c:pt idx="5">
                  <c:v>650</c:v>
                </c:pt>
                <c:pt idx="6">
                  <c:v>3400</c:v>
                </c:pt>
              </c:numCache>
            </c:numRef>
          </c:xVal>
          <c:yVal>
            <c:numRef>
              <c:f>Statistics!$T$215:$T$221</c:f>
              <c:numCache>
                <c:formatCode>General</c:formatCode>
                <c:ptCount val="7"/>
                <c:pt idx="0">
                  <c:v>-0.58666294724629431</c:v>
                </c:pt>
                <c:pt idx="1">
                  <c:v>-0.90456502268225925</c:v>
                </c:pt>
                <c:pt idx="2">
                  <c:v>-1.236545008132095</c:v>
                </c:pt>
                <c:pt idx="3">
                  <c:v>-1.5158836315175244</c:v>
                </c:pt>
                <c:pt idx="4">
                  <c:v>-1.3795376969937401</c:v>
                </c:pt>
                <c:pt idx="5">
                  <c:v>-1.6304820980421604</c:v>
                </c:pt>
                <c:pt idx="6">
                  <c:v>-2.0784797053216462</c:v>
                </c:pt>
              </c:numCache>
            </c:numRef>
          </c:yVal>
        </c:ser>
        <c:axId val="100711424"/>
        <c:axId val="100742272"/>
      </c:scatterChart>
      <c:valAx>
        <c:axId val="1007114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Число</a:t>
                </a:r>
                <a:r>
                  <a:rPr lang="ru-RU" baseline="0"/>
                  <a:t> отраслей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70200437445320063"/>
              <c:y val="0.30460629921260357"/>
            </c:manualLayout>
          </c:layout>
        </c:title>
        <c:numFmt formatCode="General" sourceLinked="1"/>
        <c:majorTickMark val="none"/>
        <c:tickLblPos val="nextTo"/>
        <c:crossAx val="100742272"/>
        <c:crosses val="autoZero"/>
        <c:crossBetween val="midCat"/>
      </c:valAx>
      <c:valAx>
        <c:axId val="10074227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Десятичный</a:t>
                </a:r>
                <a:r>
                  <a:rPr lang="ru-RU" baseline="0"/>
                  <a:t> логарифм дисперсии.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4.4444444444444502E-2"/>
              <c:y val="0.15174176144648813"/>
            </c:manualLayout>
          </c:layout>
        </c:title>
        <c:numFmt formatCode="General" sourceLinked="1"/>
        <c:majorTickMark val="none"/>
        <c:tickLblPos val="nextTo"/>
        <c:crossAx val="100711424"/>
        <c:crosses val="autoZero"/>
        <c:crossBetween val="midCat"/>
      </c:valAx>
    </c:plotArea>
    <c:plotVisOnly val="1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Уровень ассимметрии матрицы общественного воспроизводства в ценах производства (структура-01).</a:t>
            </a:r>
          </a:p>
        </c:rich>
      </c:tx>
    </c:title>
    <c:plotArea>
      <c:layout>
        <c:manualLayout>
          <c:layoutTarget val="inner"/>
          <c:xMode val="edge"/>
          <c:yMode val="edge"/>
          <c:x val="0.12861351706036742"/>
          <c:y val="0.22871536891221941"/>
          <c:w val="0.81296981627296594"/>
          <c:h val="0.60607210557013713"/>
        </c:manualLayout>
      </c:layout>
      <c:scatterChart>
        <c:scatterStyle val="smoothMarker"/>
        <c:ser>
          <c:idx val="0"/>
          <c:order val="0"/>
          <c:tx>
            <c:strRef>
              <c:f>Statistics!$L$257</c:f>
              <c:strCache>
                <c:ptCount val="1"/>
                <c:pt idx="0">
                  <c:v>N = 22</c:v>
                </c:pt>
              </c:strCache>
            </c:strRef>
          </c:tx>
          <c:xVal>
            <c:numRef>
              <c:f>Statistics!$G$230:$G$234</c:f>
              <c:numCache>
                <c:formatCode>General</c:formatCode>
                <c:ptCount val="5"/>
                <c:pt idx="0">
                  <c:v>9.27213E-3</c:v>
                </c:pt>
                <c:pt idx="1">
                  <c:v>3.93055E-2</c:v>
                </c:pt>
                <c:pt idx="2">
                  <c:v>4.4921500000000003E-2</c:v>
                </c:pt>
                <c:pt idx="3">
                  <c:v>0.106529</c:v>
                </c:pt>
                <c:pt idx="4">
                  <c:v>0.117753</c:v>
                </c:pt>
              </c:numCache>
            </c:numRef>
          </c:xVal>
          <c:yVal>
            <c:numRef>
              <c:f>Statistics!$N$230:$N$234</c:f>
              <c:numCache>
                <c:formatCode>0.00%</c:formatCode>
                <c:ptCount val="5"/>
                <c:pt idx="0">
                  <c:v>3.2594569586615555E-3</c:v>
                </c:pt>
                <c:pt idx="1">
                  <c:v>1.7557959509698649E-2</c:v>
                </c:pt>
                <c:pt idx="2">
                  <c:v>3.337540904169093E-2</c:v>
                </c:pt>
                <c:pt idx="3">
                  <c:v>4.6616956453580688E-2</c:v>
                </c:pt>
                <c:pt idx="4">
                  <c:v>9.6657934142967434E-3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Statistics!$L$258</c:f>
              <c:strCache>
                <c:ptCount val="1"/>
                <c:pt idx="0">
                  <c:v>N = 115</c:v>
                </c:pt>
              </c:strCache>
            </c:strRef>
          </c:tx>
          <c:xVal>
            <c:numRef>
              <c:f>Statistics!$G$235:$G$238</c:f>
              <c:numCache>
                <c:formatCode>General</c:formatCode>
                <c:ptCount val="4"/>
                <c:pt idx="0">
                  <c:v>2.0391699999999999E-3</c:v>
                </c:pt>
                <c:pt idx="1">
                  <c:v>2.91335E-2</c:v>
                </c:pt>
                <c:pt idx="2">
                  <c:v>4.91797E-2</c:v>
                </c:pt>
                <c:pt idx="3">
                  <c:v>0.13179299999999999</c:v>
                </c:pt>
              </c:numCache>
            </c:numRef>
          </c:xVal>
          <c:yVal>
            <c:numRef>
              <c:f>Statistics!$N$235:$N$238</c:f>
              <c:numCache>
                <c:formatCode>0.00%</c:formatCode>
                <c:ptCount val="4"/>
                <c:pt idx="0">
                  <c:v>1.1000797557822943E-3</c:v>
                </c:pt>
                <c:pt idx="1">
                  <c:v>1.0620092199104212E-2</c:v>
                </c:pt>
                <c:pt idx="2">
                  <c:v>1.3172445427424328E-2</c:v>
                </c:pt>
                <c:pt idx="3">
                  <c:v>1.3989185773329325E-2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Statistics!$L$259</c:f>
              <c:strCache>
                <c:ptCount val="1"/>
                <c:pt idx="0">
                  <c:v>N = 435</c:v>
                </c:pt>
              </c:strCache>
            </c:strRef>
          </c:tx>
          <c:xVal>
            <c:numRef>
              <c:f>Statistics!$G$239:$G$241</c:f>
              <c:numCache>
                <c:formatCode>General</c:formatCode>
                <c:ptCount val="3"/>
                <c:pt idx="0">
                  <c:v>5.9929800000000002E-3</c:v>
                </c:pt>
                <c:pt idx="1">
                  <c:v>9.9907499999999996E-2</c:v>
                </c:pt>
                <c:pt idx="2">
                  <c:v>0.231215</c:v>
                </c:pt>
              </c:numCache>
            </c:numRef>
          </c:xVal>
          <c:yVal>
            <c:numRef>
              <c:f>Statistics!$N$239:$N$241</c:f>
              <c:numCache>
                <c:formatCode>0.00%</c:formatCode>
                <c:ptCount val="3"/>
                <c:pt idx="0">
                  <c:v>2.7608508301619141E-3</c:v>
                </c:pt>
                <c:pt idx="1">
                  <c:v>2.1674847538301352E-2</c:v>
                </c:pt>
                <c:pt idx="2">
                  <c:v>4.7135656988712736E-3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Statistics!$L$260</c:f>
              <c:strCache>
                <c:ptCount val="1"/>
                <c:pt idx="0">
                  <c:v>N = 650</c:v>
                </c:pt>
              </c:strCache>
            </c:strRef>
          </c:tx>
          <c:xVal>
            <c:numRef>
              <c:f>Statistics!$G$242:$G$244</c:f>
              <c:numCache>
                <c:formatCode>General</c:formatCode>
                <c:ptCount val="3"/>
                <c:pt idx="0">
                  <c:v>0.20844099999999999</c:v>
                </c:pt>
                <c:pt idx="1">
                  <c:v>0.136937</c:v>
                </c:pt>
                <c:pt idx="2">
                  <c:v>2.05149E-3</c:v>
                </c:pt>
              </c:numCache>
            </c:numRef>
          </c:xVal>
          <c:yVal>
            <c:numRef>
              <c:f>Statistics!$N$242:$N$244</c:f>
              <c:numCache>
                <c:formatCode>0.00%</c:formatCode>
                <c:ptCount val="3"/>
                <c:pt idx="0">
                  <c:v>8.0521407255985077E-3</c:v>
                </c:pt>
                <c:pt idx="1">
                  <c:v>1.6177724934736008E-2</c:v>
                </c:pt>
                <c:pt idx="2">
                  <c:v>7.6727480299188606E-4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Statistics!$L$261</c:f>
              <c:strCache>
                <c:ptCount val="1"/>
                <c:pt idx="0">
                  <c:v>N = 3400</c:v>
                </c:pt>
              </c:strCache>
            </c:strRef>
          </c:tx>
          <c:xVal>
            <c:numRef>
              <c:f>Statistics!$G$245:$G$250</c:f>
              <c:numCache>
                <c:formatCode>General</c:formatCode>
                <c:ptCount val="6"/>
                <c:pt idx="0">
                  <c:v>0.38939600000000002</c:v>
                </c:pt>
                <c:pt idx="1">
                  <c:v>0.27494299999999999</c:v>
                </c:pt>
                <c:pt idx="2">
                  <c:v>0.180731</c:v>
                </c:pt>
                <c:pt idx="3">
                  <c:v>9.80515E-2</c:v>
                </c:pt>
                <c:pt idx="4">
                  <c:v>2.38493E-2</c:v>
                </c:pt>
                <c:pt idx="5">
                  <c:v>6.9146700000000004E-3</c:v>
                </c:pt>
              </c:numCache>
            </c:numRef>
          </c:xVal>
          <c:yVal>
            <c:numRef>
              <c:f>Statistics!$N$245:$N$250</c:f>
              <c:numCache>
                <c:formatCode>0.00%</c:formatCode>
                <c:ptCount val="6"/>
                <c:pt idx="0">
                  <c:v>4.095981402576726E-2</c:v>
                </c:pt>
                <c:pt idx="1">
                  <c:v>1.092478286994046E-3</c:v>
                </c:pt>
                <c:pt idx="2">
                  <c:v>2.3250631901024346E-2</c:v>
                </c:pt>
                <c:pt idx="3">
                  <c:v>3.1283328564368024E-2</c:v>
                </c:pt>
                <c:pt idx="4">
                  <c:v>9.4075747776200518E-3</c:v>
                </c:pt>
                <c:pt idx="5">
                  <c:v>3.1338471426219146E-3</c:v>
                </c:pt>
              </c:numCache>
            </c:numRef>
          </c:yVal>
          <c:smooth val="1"/>
        </c:ser>
        <c:axId val="100786176"/>
        <c:axId val="100788096"/>
      </c:scatterChart>
      <c:valAx>
        <c:axId val="1007861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Норма</a:t>
                </a:r>
                <a:r>
                  <a:rPr lang="ru-RU" baseline="0"/>
                  <a:t> прибыли, </a:t>
                </a:r>
                <a:r>
                  <a:rPr lang="en-US" baseline="0"/>
                  <a:t>R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54150809273840772"/>
              <c:y val="0.75831000291630213"/>
            </c:manualLayout>
          </c:layout>
        </c:title>
        <c:numFmt formatCode="General" sourceLinked="1"/>
        <c:majorTickMark val="none"/>
        <c:tickLblPos val="nextTo"/>
        <c:crossAx val="100788096"/>
        <c:crosses val="autoZero"/>
        <c:crossBetween val="midCat"/>
      </c:valAx>
      <c:valAx>
        <c:axId val="100788096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800"/>
                  <a:t>ABS[{V1'-C2') : V1']</a:t>
                </a:r>
                <a:endParaRPr lang="ru-RU" sz="800"/>
              </a:p>
            </c:rich>
          </c:tx>
          <c:layout>
            <c:manualLayout>
              <c:xMode val="edge"/>
              <c:yMode val="edge"/>
              <c:x val="0.12777777777777777"/>
              <c:y val="0.21830234762321379"/>
            </c:manualLayout>
          </c:layout>
        </c:title>
        <c:numFmt formatCode="0.0%" sourceLinked="0"/>
        <c:majorTickMark val="none"/>
        <c:tickLblPos val="nextTo"/>
        <c:crossAx val="1007861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6343044619422584"/>
          <c:y val="0.23140820939049514"/>
          <c:w val="0.18398622047244337"/>
          <c:h val="0.41858595800525156"/>
        </c:manualLayout>
      </c:layout>
    </c:legend>
    <c:plotVisOnly val="1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/>
            </a:pPr>
            <a:r>
              <a:rPr lang="ru-RU" sz="1200"/>
              <a:t>Уровень ассимметрии матрицы общественного </a:t>
            </a:r>
            <a:r>
              <a:rPr lang="ru-RU" sz="1100"/>
              <a:t>воспроизводства</a:t>
            </a:r>
            <a:r>
              <a:rPr lang="ru-RU" sz="1200"/>
              <a:t> в стоимостях (структура-01).</a:t>
            </a:r>
          </a:p>
        </c:rich>
      </c:tx>
    </c:title>
    <c:plotArea>
      <c:layout>
        <c:manualLayout>
          <c:layoutTarget val="inner"/>
          <c:xMode val="edge"/>
          <c:yMode val="edge"/>
          <c:x val="0.12861351706036742"/>
          <c:y val="0.22871536891221941"/>
          <c:w val="0.81296981627296594"/>
          <c:h val="0.60607210557013713"/>
        </c:manualLayout>
      </c:layout>
      <c:scatterChart>
        <c:scatterStyle val="smoothMarker"/>
        <c:ser>
          <c:idx val="0"/>
          <c:order val="0"/>
          <c:tx>
            <c:strRef>
              <c:f>Statistics!$L$257</c:f>
              <c:strCache>
                <c:ptCount val="1"/>
                <c:pt idx="0">
                  <c:v>N = 22</c:v>
                </c:pt>
              </c:strCache>
            </c:strRef>
          </c:tx>
          <c:xVal>
            <c:numRef>
              <c:f>Statistics!$G$230:$G$234</c:f>
              <c:numCache>
                <c:formatCode>General</c:formatCode>
                <c:ptCount val="5"/>
                <c:pt idx="0">
                  <c:v>9.27213E-3</c:v>
                </c:pt>
                <c:pt idx="1">
                  <c:v>3.93055E-2</c:v>
                </c:pt>
                <c:pt idx="2">
                  <c:v>4.4921500000000003E-2</c:v>
                </c:pt>
                <c:pt idx="3">
                  <c:v>0.106529</c:v>
                </c:pt>
                <c:pt idx="4">
                  <c:v>0.117753</c:v>
                </c:pt>
              </c:numCache>
            </c:numRef>
          </c:xVal>
          <c:yVal>
            <c:numRef>
              <c:f>Statistics!$O$230:$O$234</c:f>
              <c:numCache>
                <c:formatCode>0.00%</c:formatCode>
                <c:ptCount val="5"/>
                <c:pt idx="0">
                  <c:v>4.4374897820958969E-3</c:v>
                </c:pt>
                <c:pt idx="1">
                  <c:v>7.9456065907341899E-3</c:v>
                </c:pt>
                <c:pt idx="2">
                  <c:v>7.5758476036554209E-3</c:v>
                </c:pt>
                <c:pt idx="3">
                  <c:v>8.2755520440267415E-4</c:v>
                </c:pt>
                <c:pt idx="4">
                  <c:v>2.0208533573418678E-2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Statistics!$L$258</c:f>
              <c:strCache>
                <c:ptCount val="1"/>
                <c:pt idx="0">
                  <c:v>N = 115</c:v>
                </c:pt>
              </c:strCache>
            </c:strRef>
          </c:tx>
          <c:xVal>
            <c:numRef>
              <c:f>Statistics!$G$235:$G$238</c:f>
              <c:numCache>
                <c:formatCode>General</c:formatCode>
                <c:ptCount val="4"/>
                <c:pt idx="0">
                  <c:v>2.0391699999999999E-3</c:v>
                </c:pt>
                <c:pt idx="1">
                  <c:v>2.91335E-2</c:v>
                </c:pt>
                <c:pt idx="2">
                  <c:v>4.91797E-2</c:v>
                </c:pt>
                <c:pt idx="3">
                  <c:v>0.13179299999999999</c:v>
                </c:pt>
              </c:numCache>
            </c:numRef>
          </c:xVal>
          <c:yVal>
            <c:numRef>
              <c:f>Statistics!$O$235:$O$238</c:f>
              <c:numCache>
                <c:formatCode>0.00%</c:formatCode>
                <c:ptCount val="4"/>
                <c:pt idx="0">
                  <c:v>2.1089018581259197E-4</c:v>
                </c:pt>
                <c:pt idx="1">
                  <c:v>3.5849072117479712E-3</c:v>
                </c:pt>
                <c:pt idx="2">
                  <c:v>6.6592873275049926E-3</c:v>
                </c:pt>
                <c:pt idx="3">
                  <c:v>3.2814847270906285E-2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Statistics!$L$259</c:f>
              <c:strCache>
                <c:ptCount val="1"/>
                <c:pt idx="0">
                  <c:v>N = 435</c:v>
                </c:pt>
              </c:strCache>
            </c:strRef>
          </c:tx>
          <c:xVal>
            <c:numRef>
              <c:f>Statistics!$G$239:$G$241</c:f>
              <c:numCache>
                <c:formatCode>General</c:formatCode>
                <c:ptCount val="3"/>
                <c:pt idx="0">
                  <c:v>5.9929800000000002E-3</c:v>
                </c:pt>
                <c:pt idx="1">
                  <c:v>9.9907499999999996E-2</c:v>
                </c:pt>
                <c:pt idx="2">
                  <c:v>0.231215</c:v>
                </c:pt>
              </c:numCache>
            </c:numRef>
          </c:xVal>
          <c:yVal>
            <c:numRef>
              <c:f>Statistics!$O$239:$O$241</c:f>
              <c:numCache>
                <c:formatCode>0.00%</c:formatCode>
                <c:ptCount val="3"/>
                <c:pt idx="0">
                  <c:v>8.2435196775867861E-4</c:v>
                </c:pt>
                <c:pt idx="1">
                  <c:v>1.9754394390432625E-2</c:v>
                </c:pt>
                <c:pt idx="2">
                  <c:v>4.9878899613201723E-2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Statistics!$L$260</c:f>
              <c:strCache>
                <c:ptCount val="1"/>
                <c:pt idx="0">
                  <c:v>N = 650</c:v>
                </c:pt>
              </c:strCache>
            </c:strRef>
          </c:tx>
          <c:xVal>
            <c:numRef>
              <c:f>Statistics!$G$242:$G$244</c:f>
              <c:numCache>
                <c:formatCode>General</c:formatCode>
                <c:ptCount val="3"/>
                <c:pt idx="0">
                  <c:v>0.20844099999999999</c:v>
                </c:pt>
                <c:pt idx="1">
                  <c:v>0.136937</c:v>
                </c:pt>
                <c:pt idx="2">
                  <c:v>2.05149E-3</c:v>
                </c:pt>
              </c:numCache>
            </c:numRef>
          </c:xVal>
          <c:yVal>
            <c:numRef>
              <c:f>Statistics!$O$242:$O$244</c:f>
              <c:numCache>
                <c:formatCode>0.00%</c:formatCode>
                <c:ptCount val="3"/>
                <c:pt idx="0">
                  <c:v>4.8928889783477543E-2</c:v>
                </c:pt>
                <c:pt idx="1">
                  <c:v>1.8534161361135917E-2</c:v>
                </c:pt>
                <c:pt idx="2">
                  <c:v>4.5612430314354089E-4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Statistics!$L$261</c:f>
              <c:strCache>
                <c:ptCount val="1"/>
                <c:pt idx="0">
                  <c:v>N = 3400</c:v>
                </c:pt>
              </c:strCache>
            </c:strRef>
          </c:tx>
          <c:xVal>
            <c:numRef>
              <c:f>Statistics!$G$245:$G$250</c:f>
              <c:numCache>
                <c:formatCode>General</c:formatCode>
                <c:ptCount val="6"/>
                <c:pt idx="0">
                  <c:v>0.38939600000000002</c:v>
                </c:pt>
                <c:pt idx="1">
                  <c:v>0.27494299999999999</c:v>
                </c:pt>
                <c:pt idx="2">
                  <c:v>0.180731</c:v>
                </c:pt>
                <c:pt idx="3">
                  <c:v>9.80515E-2</c:v>
                </c:pt>
                <c:pt idx="4">
                  <c:v>2.38493E-2</c:v>
                </c:pt>
                <c:pt idx="5">
                  <c:v>6.9146700000000004E-3</c:v>
                </c:pt>
              </c:numCache>
            </c:numRef>
          </c:xVal>
          <c:yVal>
            <c:numRef>
              <c:f>Statistics!$O$245:$O$250</c:f>
              <c:numCache>
                <c:formatCode>0.00%</c:formatCode>
                <c:ptCount val="6"/>
                <c:pt idx="0">
                  <c:v>7.4068507693685018E-2</c:v>
                </c:pt>
                <c:pt idx="1">
                  <c:v>5.7440913401640106E-2</c:v>
                </c:pt>
                <c:pt idx="2">
                  <c:v>3.6725052520117159E-2</c:v>
                </c:pt>
                <c:pt idx="3">
                  <c:v>1.4797263678865843E-2</c:v>
                </c:pt>
                <c:pt idx="4">
                  <c:v>3.7656965484978307E-3</c:v>
                </c:pt>
                <c:pt idx="5">
                  <c:v>9.1441695286499593E-4</c:v>
                </c:pt>
              </c:numCache>
            </c:numRef>
          </c:yVal>
          <c:smooth val="1"/>
        </c:ser>
        <c:axId val="100910208"/>
        <c:axId val="100912128"/>
      </c:scatterChart>
      <c:valAx>
        <c:axId val="100910208"/>
        <c:scaling>
          <c:orientation val="minMax"/>
          <c:max val="0.30000000000000032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Норма</a:t>
                </a:r>
                <a:r>
                  <a:rPr lang="ru-RU" baseline="0"/>
                  <a:t> прибыли, </a:t>
                </a:r>
                <a:r>
                  <a:rPr lang="en-US" baseline="0"/>
                  <a:t>R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54150809273840772"/>
              <c:y val="0.75831000291630213"/>
            </c:manualLayout>
          </c:layout>
        </c:title>
        <c:numFmt formatCode="General" sourceLinked="1"/>
        <c:majorTickMark val="none"/>
        <c:tickLblPos val="nextTo"/>
        <c:crossAx val="100912128"/>
        <c:crosses val="autoZero"/>
        <c:crossBetween val="midCat"/>
      </c:valAx>
      <c:valAx>
        <c:axId val="100912128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800"/>
                  <a:t>ABS[{V1'-C2') : V1']</a:t>
                </a:r>
                <a:endParaRPr lang="ru-RU" sz="800"/>
              </a:p>
            </c:rich>
          </c:tx>
          <c:layout>
            <c:manualLayout>
              <c:xMode val="edge"/>
              <c:yMode val="edge"/>
              <c:x val="0.12777777777777777"/>
              <c:y val="0.21830234762321379"/>
            </c:manualLayout>
          </c:layout>
        </c:title>
        <c:numFmt formatCode="0.0%" sourceLinked="0"/>
        <c:majorTickMark val="none"/>
        <c:tickLblPos val="nextTo"/>
        <c:crossAx val="1009102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6343044619422584"/>
          <c:y val="0.23140820939049525"/>
          <c:w val="0.18398622047244337"/>
          <c:h val="0.41858595800525156"/>
        </c:manualLayout>
      </c:layout>
    </c:legend>
    <c:plotVisOnly val="1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Уровень ассимметрии матрицы общественного воспроизводства в ценах производства (структура-01).</a:t>
            </a:r>
          </a:p>
        </c:rich>
      </c:tx>
    </c:title>
    <c:plotArea>
      <c:layout>
        <c:manualLayout>
          <c:layoutTarget val="inner"/>
          <c:xMode val="edge"/>
          <c:yMode val="edge"/>
          <c:x val="0.12861351706036742"/>
          <c:y val="0.22871536891221941"/>
          <c:w val="0.81296981627296594"/>
          <c:h val="0.60607210557013713"/>
        </c:manualLayout>
      </c:layout>
      <c:scatterChart>
        <c:scatterStyle val="smoothMarker"/>
        <c:ser>
          <c:idx val="0"/>
          <c:order val="0"/>
          <c:tx>
            <c:strRef>
              <c:f>Statistics!$L$257</c:f>
              <c:strCache>
                <c:ptCount val="1"/>
                <c:pt idx="0">
                  <c:v>N = 22</c:v>
                </c:pt>
              </c:strCache>
            </c:strRef>
          </c:tx>
          <c:xVal>
            <c:numRef>
              <c:f>Statistics!$G$230:$G$234</c:f>
              <c:numCache>
                <c:formatCode>General</c:formatCode>
                <c:ptCount val="5"/>
                <c:pt idx="0">
                  <c:v>9.27213E-3</c:v>
                </c:pt>
                <c:pt idx="1">
                  <c:v>3.93055E-2</c:v>
                </c:pt>
                <c:pt idx="2">
                  <c:v>4.4921500000000003E-2</c:v>
                </c:pt>
                <c:pt idx="3">
                  <c:v>0.106529</c:v>
                </c:pt>
                <c:pt idx="4">
                  <c:v>0.117753</c:v>
                </c:pt>
              </c:numCache>
            </c:numRef>
          </c:xVal>
          <c:yVal>
            <c:numRef>
              <c:f>Statistics!$N$230:$N$234</c:f>
              <c:numCache>
                <c:formatCode>0.00%</c:formatCode>
                <c:ptCount val="5"/>
                <c:pt idx="0">
                  <c:v>3.2594569586615555E-3</c:v>
                </c:pt>
                <c:pt idx="1">
                  <c:v>1.7557959509698649E-2</c:v>
                </c:pt>
                <c:pt idx="2">
                  <c:v>3.337540904169093E-2</c:v>
                </c:pt>
                <c:pt idx="3">
                  <c:v>4.6616956453580688E-2</c:v>
                </c:pt>
                <c:pt idx="4">
                  <c:v>9.6657934142967434E-3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Statistics!$L$258</c:f>
              <c:strCache>
                <c:ptCount val="1"/>
                <c:pt idx="0">
                  <c:v>N = 115</c:v>
                </c:pt>
              </c:strCache>
            </c:strRef>
          </c:tx>
          <c:xVal>
            <c:numRef>
              <c:f>Statistics!$G$235:$G$238</c:f>
              <c:numCache>
                <c:formatCode>General</c:formatCode>
                <c:ptCount val="4"/>
                <c:pt idx="0">
                  <c:v>2.0391699999999999E-3</c:v>
                </c:pt>
                <c:pt idx="1">
                  <c:v>2.91335E-2</c:v>
                </c:pt>
                <c:pt idx="2">
                  <c:v>4.91797E-2</c:v>
                </c:pt>
                <c:pt idx="3">
                  <c:v>0.13179299999999999</c:v>
                </c:pt>
              </c:numCache>
            </c:numRef>
          </c:xVal>
          <c:yVal>
            <c:numRef>
              <c:f>Statistics!$N$235:$N$238</c:f>
              <c:numCache>
                <c:formatCode>0.00%</c:formatCode>
                <c:ptCount val="4"/>
                <c:pt idx="0">
                  <c:v>1.1000797557822943E-3</c:v>
                </c:pt>
                <c:pt idx="1">
                  <c:v>1.0620092199104212E-2</c:v>
                </c:pt>
                <c:pt idx="2">
                  <c:v>1.3172445427424328E-2</c:v>
                </c:pt>
                <c:pt idx="3">
                  <c:v>1.3989185773329325E-2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Statistics!$L$259</c:f>
              <c:strCache>
                <c:ptCount val="1"/>
                <c:pt idx="0">
                  <c:v>N = 435</c:v>
                </c:pt>
              </c:strCache>
            </c:strRef>
          </c:tx>
          <c:xVal>
            <c:numRef>
              <c:f>Statistics!$G$239:$G$241</c:f>
              <c:numCache>
                <c:formatCode>General</c:formatCode>
                <c:ptCount val="3"/>
                <c:pt idx="0">
                  <c:v>5.9929800000000002E-3</c:v>
                </c:pt>
                <c:pt idx="1">
                  <c:v>9.9907499999999996E-2</c:v>
                </c:pt>
                <c:pt idx="2">
                  <c:v>0.231215</c:v>
                </c:pt>
              </c:numCache>
            </c:numRef>
          </c:xVal>
          <c:yVal>
            <c:numRef>
              <c:f>Statistics!$N$239:$N$241</c:f>
              <c:numCache>
                <c:formatCode>0.00%</c:formatCode>
                <c:ptCount val="3"/>
                <c:pt idx="0">
                  <c:v>2.7608508301619141E-3</c:v>
                </c:pt>
                <c:pt idx="1">
                  <c:v>2.1674847538301352E-2</c:v>
                </c:pt>
                <c:pt idx="2">
                  <c:v>4.7135656988712736E-3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Statistics!$L$260</c:f>
              <c:strCache>
                <c:ptCount val="1"/>
                <c:pt idx="0">
                  <c:v>N = 650</c:v>
                </c:pt>
              </c:strCache>
            </c:strRef>
          </c:tx>
          <c:xVal>
            <c:numRef>
              <c:f>Statistics!$G$242:$G$244</c:f>
              <c:numCache>
                <c:formatCode>General</c:formatCode>
                <c:ptCount val="3"/>
                <c:pt idx="0">
                  <c:v>0.20844099999999999</c:v>
                </c:pt>
                <c:pt idx="1">
                  <c:v>0.136937</c:v>
                </c:pt>
                <c:pt idx="2">
                  <c:v>2.05149E-3</c:v>
                </c:pt>
              </c:numCache>
            </c:numRef>
          </c:xVal>
          <c:yVal>
            <c:numRef>
              <c:f>Statistics!$N$242:$N$244</c:f>
              <c:numCache>
                <c:formatCode>0.00%</c:formatCode>
                <c:ptCount val="3"/>
                <c:pt idx="0">
                  <c:v>8.0521407255985077E-3</c:v>
                </c:pt>
                <c:pt idx="1">
                  <c:v>1.6177724934736008E-2</c:v>
                </c:pt>
                <c:pt idx="2">
                  <c:v>7.6727480299188606E-4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Statistics!$L$261</c:f>
              <c:strCache>
                <c:ptCount val="1"/>
                <c:pt idx="0">
                  <c:v>N = 3400</c:v>
                </c:pt>
              </c:strCache>
            </c:strRef>
          </c:tx>
          <c:xVal>
            <c:numRef>
              <c:f>Statistics!$G$245:$G$250</c:f>
              <c:numCache>
                <c:formatCode>General</c:formatCode>
                <c:ptCount val="6"/>
                <c:pt idx="0">
                  <c:v>0.38939600000000002</c:v>
                </c:pt>
                <c:pt idx="1">
                  <c:v>0.27494299999999999</c:v>
                </c:pt>
                <c:pt idx="2">
                  <c:v>0.180731</c:v>
                </c:pt>
                <c:pt idx="3">
                  <c:v>9.80515E-2</c:v>
                </c:pt>
                <c:pt idx="4">
                  <c:v>2.38493E-2</c:v>
                </c:pt>
                <c:pt idx="5">
                  <c:v>6.9146700000000004E-3</c:v>
                </c:pt>
              </c:numCache>
            </c:numRef>
          </c:xVal>
          <c:yVal>
            <c:numRef>
              <c:f>Statistics!$N$245:$N$250</c:f>
              <c:numCache>
                <c:formatCode>0.00%</c:formatCode>
                <c:ptCount val="6"/>
                <c:pt idx="0">
                  <c:v>4.095981402576726E-2</c:v>
                </c:pt>
                <c:pt idx="1">
                  <c:v>1.092478286994046E-3</c:v>
                </c:pt>
                <c:pt idx="2">
                  <c:v>2.3250631901024346E-2</c:v>
                </c:pt>
                <c:pt idx="3">
                  <c:v>3.1283328564368024E-2</c:v>
                </c:pt>
                <c:pt idx="4">
                  <c:v>9.4075747776200518E-3</c:v>
                </c:pt>
                <c:pt idx="5">
                  <c:v>3.1338471426219146E-3</c:v>
                </c:pt>
              </c:numCache>
            </c:numRef>
          </c:yVal>
          <c:smooth val="1"/>
        </c:ser>
        <c:axId val="101014144"/>
        <c:axId val="101024512"/>
      </c:scatterChart>
      <c:valAx>
        <c:axId val="101014144"/>
        <c:scaling>
          <c:orientation val="minMax"/>
          <c:max val="3.0000000000000002E-2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Норма</a:t>
                </a:r>
                <a:r>
                  <a:rPr lang="ru-RU" baseline="0"/>
                  <a:t> прибыли, </a:t>
                </a:r>
                <a:r>
                  <a:rPr lang="en-US" baseline="0"/>
                  <a:t>R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54150809273840772"/>
              <c:y val="0.75831000291630213"/>
            </c:manualLayout>
          </c:layout>
        </c:title>
        <c:numFmt formatCode="General" sourceLinked="1"/>
        <c:majorTickMark val="none"/>
        <c:tickLblPos val="nextTo"/>
        <c:crossAx val="101024512"/>
        <c:crosses val="autoZero"/>
        <c:crossBetween val="midCat"/>
      </c:valAx>
      <c:valAx>
        <c:axId val="101024512"/>
        <c:scaling>
          <c:orientation val="minMax"/>
          <c:max val="1.5000000000000025E-2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800"/>
                  <a:t>ABS[{V1'-C2') : V1']</a:t>
                </a:r>
                <a:endParaRPr lang="ru-RU" sz="800"/>
              </a:p>
            </c:rich>
          </c:tx>
          <c:layout>
            <c:manualLayout>
              <c:xMode val="edge"/>
              <c:yMode val="edge"/>
              <c:x val="0.12777777777777777"/>
              <c:y val="0.21830234762321379"/>
            </c:manualLayout>
          </c:layout>
        </c:title>
        <c:numFmt formatCode="0.0%" sourceLinked="0"/>
        <c:majorTickMark val="none"/>
        <c:tickLblPos val="nextTo"/>
        <c:crossAx val="1010141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565266841644802"/>
          <c:y val="0.29159339457567807"/>
          <c:w val="0.18398622047244351"/>
          <c:h val="0.41858595800525167"/>
        </c:manualLayout>
      </c:layout>
    </c:legend>
    <c:plotVisOnly val="1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Statistics!$AG$395:$AG$446</c:f>
              <c:numCache>
                <c:formatCode>General</c:formatCode>
                <c:ptCount val="52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  <c:pt idx="17">
                  <c:v>22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75</c:v>
                </c:pt>
                <c:pt idx="29">
                  <c:v>75</c:v>
                </c:pt>
                <c:pt idx="30">
                  <c:v>75</c:v>
                </c:pt>
                <c:pt idx="31">
                  <c:v>75</c:v>
                </c:pt>
                <c:pt idx="32">
                  <c:v>75</c:v>
                </c:pt>
                <c:pt idx="33">
                  <c:v>75</c:v>
                </c:pt>
                <c:pt idx="34">
                  <c:v>75</c:v>
                </c:pt>
                <c:pt idx="35">
                  <c:v>75</c:v>
                </c:pt>
                <c:pt idx="36">
                  <c:v>115</c:v>
                </c:pt>
                <c:pt idx="37">
                  <c:v>115</c:v>
                </c:pt>
                <c:pt idx="38">
                  <c:v>115</c:v>
                </c:pt>
                <c:pt idx="39">
                  <c:v>115</c:v>
                </c:pt>
                <c:pt idx="40">
                  <c:v>115</c:v>
                </c:pt>
                <c:pt idx="41">
                  <c:v>115</c:v>
                </c:pt>
                <c:pt idx="42">
                  <c:v>115</c:v>
                </c:pt>
                <c:pt idx="43">
                  <c:v>115</c:v>
                </c:pt>
                <c:pt idx="44">
                  <c:v>115</c:v>
                </c:pt>
                <c:pt idx="45">
                  <c:v>115</c:v>
                </c:pt>
                <c:pt idx="46">
                  <c:v>115</c:v>
                </c:pt>
                <c:pt idx="47">
                  <c:v>115</c:v>
                </c:pt>
                <c:pt idx="48">
                  <c:v>115</c:v>
                </c:pt>
                <c:pt idx="49">
                  <c:v>115</c:v>
                </c:pt>
                <c:pt idx="50">
                  <c:v>190</c:v>
                </c:pt>
                <c:pt idx="51">
                  <c:v>190</c:v>
                </c:pt>
              </c:numCache>
            </c:numRef>
          </c:xVal>
          <c:yVal>
            <c:numRef>
              <c:f>Statistics!$AN$395:$AN$446</c:f>
              <c:numCache>
                <c:formatCode>General</c:formatCode>
                <c:ptCount val="52"/>
                <c:pt idx="0">
                  <c:v>2.9052366666666667</c:v>
                </c:pt>
                <c:pt idx="1">
                  <c:v>2.0103315166666671</c:v>
                </c:pt>
                <c:pt idx="2">
                  <c:v>1.4034403333333332</c:v>
                </c:pt>
                <c:pt idx="3">
                  <c:v>2.6145561666666666</c:v>
                </c:pt>
                <c:pt idx="4">
                  <c:v>1.2387200133333334</c:v>
                </c:pt>
                <c:pt idx="5">
                  <c:v>3.2979916666666664</c:v>
                </c:pt>
                <c:pt idx="6">
                  <c:v>2.4229101666666666</c:v>
                </c:pt>
                <c:pt idx="7">
                  <c:v>2.5724876666666665</c:v>
                </c:pt>
                <c:pt idx="8">
                  <c:v>1.5842586666666667</c:v>
                </c:pt>
                <c:pt idx="9">
                  <c:v>1.7607768666666666</c:v>
                </c:pt>
                <c:pt idx="10">
                  <c:v>3.0248184999999999</c:v>
                </c:pt>
                <c:pt idx="11">
                  <c:v>0.77943210000000007</c:v>
                </c:pt>
                <c:pt idx="12">
                  <c:v>3.935177616666667</c:v>
                </c:pt>
                <c:pt idx="13">
                  <c:v>3.1222721666666668</c:v>
                </c:pt>
                <c:pt idx="14">
                  <c:v>1.0509990000000002</c:v>
                </c:pt>
                <c:pt idx="15">
                  <c:v>1.5558071666666666</c:v>
                </c:pt>
                <c:pt idx="16">
                  <c:v>1.8675841166666665</c:v>
                </c:pt>
                <c:pt idx="17">
                  <c:v>2.4286159999999999</c:v>
                </c:pt>
                <c:pt idx="18">
                  <c:v>0.49876186666666666</c:v>
                </c:pt>
                <c:pt idx="19">
                  <c:v>0.7294870166666666</c:v>
                </c:pt>
                <c:pt idx="20">
                  <c:v>0.93046424999999999</c:v>
                </c:pt>
                <c:pt idx="21">
                  <c:v>1.3967055166666666</c:v>
                </c:pt>
                <c:pt idx="22">
                  <c:v>1.3450878333333334</c:v>
                </c:pt>
                <c:pt idx="23">
                  <c:v>1.3097801666666666</c:v>
                </c:pt>
                <c:pt idx="24">
                  <c:v>0.56547923333333339</c:v>
                </c:pt>
                <c:pt idx="25">
                  <c:v>0.91308528333333339</c:v>
                </c:pt>
                <c:pt idx="26">
                  <c:v>1.74755795</c:v>
                </c:pt>
                <c:pt idx="27">
                  <c:v>0.80229333333333341</c:v>
                </c:pt>
                <c:pt idx="28">
                  <c:v>0.45908129999999997</c:v>
                </c:pt>
                <c:pt idx="29">
                  <c:v>1.0069212333333333</c:v>
                </c:pt>
                <c:pt idx="30">
                  <c:v>0.35119008166666665</c:v>
                </c:pt>
                <c:pt idx="31">
                  <c:v>0.35265828333333332</c:v>
                </c:pt>
                <c:pt idx="32">
                  <c:v>0.36183646666666669</c:v>
                </c:pt>
                <c:pt idx="33">
                  <c:v>0.7506195</c:v>
                </c:pt>
                <c:pt idx="34">
                  <c:v>0.46573149999999996</c:v>
                </c:pt>
                <c:pt idx="35">
                  <c:v>0.50084534999999997</c:v>
                </c:pt>
                <c:pt idx="36">
                  <c:v>0.25607349833333332</c:v>
                </c:pt>
                <c:pt idx="37">
                  <c:v>0.45537181666666671</c:v>
                </c:pt>
                <c:pt idx="38">
                  <c:v>0.29875358333333335</c:v>
                </c:pt>
                <c:pt idx="39">
                  <c:v>0.45508507999999998</c:v>
                </c:pt>
                <c:pt idx="40">
                  <c:v>0.40737186666666664</c:v>
                </c:pt>
                <c:pt idx="41">
                  <c:v>0.43169201666666668</c:v>
                </c:pt>
                <c:pt idx="42">
                  <c:v>0.21361683333333334</c:v>
                </c:pt>
                <c:pt idx="43">
                  <c:v>0.31542771833333338</c:v>
                </c:pt>
                <c:pt idx="44">
                  <c:v>0.50605388333333334</c:v>
                </c:pt>
                <c:pt idx="45">
                  <c:v>0.42544483333333333</c:v>
                </c:pt>
                <c:pt idx="46">
                  <c:v>0.26637039000000001</c:v>
                </c:pt>
                <c:pt idx="47">
                  <c:v>0.12716455000000002</c:v>
                </c:pt>
                <c:pt idx="48">
                  <c:v>0.54316356666666665</c:v>
                </c:pt>
                <c:pt idx="49">
                  <c:v>0.51408953333333329</c:v>
                </c:pt>
                <c:pt idx="50">
                  <c:v>0.23345158333333335</c:v>
                </c:pt>
                <c:pt idx="51">
                  <c:v>0.11013090166666667</c:v>
                </c:pt>
              </c:numCache>
            </c:numRef>
          </c:yVal>
        </c:ser>
        <c:axId val="101053184"/>
        <c:axId val="101054720"/>
      </c:scatterChart>
      <c:valAx>
        <c:axId val="101053184"/>
        <c:scaling>
          <c:orientation val="minMax"/>
        </c:scaling>
        <c:axPos val="b"/>
        <c:numFmt formatCode="General" sourceLinked="1"/>
        <c:tickLblPos val="nextTo"/>
        <c:crossAx val="101054720"/>
        <c:crosses val="autoZero"/>
        <c:crossBetween val="midCat"/>
      </c:valAx>
      <c:valAx>
        <c:axId val="101054720"/>
        <c:scaling>
          <c:orientation val="minMax"/>
        </c:scaling>
        <c:axPos val="l"/>
        <c:majorGridlines/>
        <c:numFmt formatCode="General" sourceLinked="1"/>
        <c:tickLblPos val="nextTo"/>
        <c:crossAx val="101053184"/>
        <c:crosses val="autoZero"/>
        <c:crossBetween val="midCat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Среднее</a:t>
            </a:r>
            <a:r>
              <a:rPr lang="ru-RU" sz="1100" baseline="0"/>
              <a:t> о</a:t>
            </a:r>
            <a:r>
              <a:rPr lang="ru-RU" sz="1100"/>
              <a:t>тносительное</a:t>
            </a:r>
            <a:r>
              <a:rPr lang="ru-RU" sz="1100" baseline="0"/>
              <a:t> отклонение (в процентах) элементов матрицы  воспроизводства от соответствующих элементов  матрицы, составленной из средних значений.</a:t>
            </a:r>
            <a:endParaRPr lang="ru-RU" sz="1100"/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Среднее</c:v>
          </c:tx>
          <c:xVal>
            <c:numRef>
              <c:f>Statistics!$Z$395:$Z$399</c:f>
              <c:numCache>
                <c:formatCode>General</c:formatCode>
                <c:ptCount val="5"/>
                <c:pt idx="0">
                  <c:v>22</c:v>
                </c:pt>
                <c:pt idx="1">
                  <c:v>40</c:v>
                </c:pt>
                <c:pt idx="2">
                  <c:v>75</c:v>
                </c:pt>
                <c:pt idx="3">
                  <c:v>115</c:v>
                </c:pt>
                <c:pt idx="4">
                  <c:v>190</c:v>
                </c:pt>
              </c:numCache>
            </c:numRef>
          </c:xVal>
          <c:yVal>
            <c:numRef>
              <c:f>Statistics!$AA$395:$AA$399</c:f>
              <c:numCache>
                <c:formatCode>General</c:formatCode>
                <c:ptCount val="5"/>
                <c:pt idx="0">
                  <c:v>2.1986342442592588</c:v>
                </c:pt>
                <c:pt idx="1">
                  <c:v>1.0238702449999999</c:v>
                </c:pt>
                <c:pt idx="2">
                  <c:v>0.53111046437499998</c:v>
                </c:pt>
                <c:pt idx="3">
                  <c:v>0.37254851214285711</c:v>
                </c:pt>
                <c:pt idx="4">
                  <c:v>0.1717912425</c:v>
                </c:pt>
              </c:numCache>
            </c:numRef>
          </c:yVal>
        </c:ser>
        <c:axId val="100959360"/>
        <c:axId val="100961280"/>
      </c:scatterChart>
      <c:valAx>
        <c:axId val="1009593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Число</a:t>
                </a:r>
                <a:r>
                  <a:rPr lang="ru-RU" baseline="0"/>
                  <a:t> отраслей, </a:t>
                </a:r>
                <a:r>
                  <a:rPr lang="en-US" baseline="0"/>
                  <a:t>N</a:t>
                </a:r>
                <a:endParaRPr lang="ru-RU"/>
              </a:p>
            </c:rich>
          </c:tx>
          <c:layout/>
        </c:title>
        <c:numFmt formatCode="General" sourceLinked="1"/>
        <c:majorTickMark val="none"/>
        <c:tickLblPos val="nextTo"/>
        <c:crossAx val="100961280"/>
        <c:crosses val="autoZero"/>
        <c:crossBetween val="midCat"/>
      </c:valAx>
      <c:valAx>
        <c:axId val="1009612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Относительное</a:t>
                </a:r>
                <a:r>
                  <a:rPr lang="ru-RU" baseline="0"/>
                  <a:t> отклонение, </a:t>
                </a:r>
                <a:r>
                  <a:rPr lang="en-US" baseline="0"/>
                  <a:t>%</a:t>
                </a:r>
                <a:endParaRPr lang="ru-RU"/>
              </a:p>
            </c:rich>
          </c:tx>
          <c:layout/>
        </c:title>
        <c:numFmt formatCode="General" sourceLinked="1"/>
        <c:majorTickMark val="none"/>
        <c:tickLblPos val="nextTo"/>
        <c:crossAx val="10095936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00"/>
            </a:pPr>
            <a:r>
              <a:rPr lang="ru-RU" sz="1100"/>
              <a:t>Относительное</a:t>
            </a:r>
            <a:r>
              <a:rPr lang="ru-RU" sz="1100" baseline="0"/>
              <a:t> отклонение (в процентах) матрицы точной и матрицы из средних значений.</a:t>
            </a:r>
            <a:endParaRPr lang="ru-RU" sz="1100"/>
          </a:p>
        </c:rich>
      </c:tx>
      <c:layout/>
    </c:title>
    <c:plotArea>
      <c:layout/>
      <c:scatterChart>
        <c:scatterStyle val="lineMarker"/>
        <c:ser>
          <c:idx val="1"/>
          <c:order val="0"/>
          <c:tx>
            <c:strRef>
              <c:f>Statistics!$N$394</c:f>
              <c:strCache>
                <c:ptCount val="1"/>
                <c:pt idx="0">
                  <c:v>C1</c:v>
                </c:pt>
              </c:strCache>
            </c:strRef>
          </c:tx>
          <c:xVal>
            <c:numRef>
              <c:f>Statistics!$N$401:$N$405</c:f>
              <c:numCache>
                <c:formatCode>General</c:formatCode>
                <c:ptCount val="5"/>
                <c:pt idx="0">
                  <c:v>1.5563025007672873</c:v>
                </c:pt>
                <c:pt idx="1">
                  <c:v>2.1583624920952498</c:v>
                </c:pt>
                <c:pt idx="2">
                  <c:v>2.6020599913279625</c:v>
                </c:pt>
                <c:pt idx="3">
                  <c:v>2.9542425094393248</c:v>
                </c:pt>
                <c:pt idx="4">
                  <c:v>3.3979400086720375</c:v>
                </c:pt>
              </c:numCache>
            </c:numRef>
          </c:xVal>
          <c:yVal>
            <c:numRef>
              <c:f>Statistics!$T$401:$T$405</c:f>
              <c:numCache>
                <c:formatCode>General</c:formatCode>
                <c:ptCount val="5"/>
                <c:pt idx="0">
                  <c:v>0.25334423883975471</c:v>
                </c:pt>
                <c:pt idx="1">
                  <c:v>-0.27303315587773991</c:v>
                </c:pt>
                <c:pt idx="2">
                  <c:v>-0.50345730914395692</c:v>
                </c:pt>
                <c:pt idx="3">
                  <c:v>-0.78083178170239032</c:v>
                </c:pt>
                <c:pt idx="4">
                  <c:v>-1.2966608521156182</c:v>
                </c:pt>
              </c:numCache>
            </c:numRef>
          </c:yVal>
        </c:ser>
        <c:ser>
          <c:idx val="2"/>
          <c:order val="1"/>
          <c:tx>
            <c:strRef>
              <c:f>Statistics!$O$394</c:f>
              <c:strCache>
                <c:ptCount val="1"/>
                <c:pt idx="0">
                  <c:v>C2</c:v>
                </c:pt>
              </c:strCache>
            </c:strRef>
          </c:tx>
          <c:xVal>
            <c:numRef>
              <c:f>Statistics!$O$401:$O$405</c:f>
              <c:numCache>
                <c:formatCode>General</c:formatCode>
                <c:ptCount val="5"/>
                <c:pt idx="0">
                  <c:v>1.8573324964312685</c:v>
                </c:pt>
                <c:pt idx="1">
                  <c:v>2.3802112417116059</c:v>
                </c:pt>
                <c:pt idx="2">
                  <c:v>2.9030899869919438</c:v>
                </c:pt>
                <c:pt idx="3">
                  <c:v>3.255272505103306</c:v>
                </c:pt>
                <c:pt idx="4">
                  <c:v>3.6989700043360187</c:v>
                </c:pt>
              </c:numCache>
            </c:numRef>
          </c:xVal>
          <c:yVal>
            <c:numRef>
              <c:f>Statistics!$U$401:$U$3405</c:f>
              <c:numCache>
                <c:formatCode>General</c:formatCode>
                <c:ptCount val="3005"/>
                <c:pt idx="0">
                  <c:v>-0.11218531805375787</c:v>
                </c:pt>
                <c:pt idx="1">
                  <c:v>-0.45292701920697054</c:v>
                </c:pt>
                <c:pt idx="2">
                  <c:v>-0.75564447199491747</c:v>
                </c:pt>
                <c:pt idx="3">
                  <c:v>-1.053112959881604</c:v>
                </c:pt>
                <c:pt idx="4">
                  <c:v>-1.5431771350600521</c:v>
                </c:pt>
                <c:pt idx="60">
                  <c:v>0</c:v>
                </c:pt>
                <c:pt idx="61">
                  <c:v>2.6667922857142856</c:v>
                </c:pt>
                <c:pt idx="62">
                  <c:v>0.98915950000000008</c:v>
                </c:pt>
                <c:pt idx="63">
                  <c:v>0.15560404999999997</c:v>
                </c:pt>
                <c:pt idx="64">
                  <c:v>8.529405000000001E-2</c:v>
                </c:pt>
                <c:pt idx="66">
                  <c:v>0.42598919016262959</c:v>
                </c:pt>
                <c:pt idx="67">
                  <c:v>-4.7336736356405791E-3</c:v>
                </c:pt>
                <c:pt idx="68">
                  <c:v>-0.80797910355608815</c:v>
                </c:pt>
                <c:pt idx="69">
                  <c:v>-1.0690812635838867</c:v>
                </c:pt>
              </c:numCache>
            </c:numRef>
          </c:yVal>
        </c:ser>
        <c:ser>
          <c:idx val="3"/>
          <c:order val="2"/>
          <c:tx>
            <c:strRef>
              <c:f>Statistics!$P$394</c:f>
              <c:strCache>
                <c:ptCount val="1"/>
                <c:pt idx="0">
                  <c:v>C3</c:v>
                </c:pt>
              </c:strCache>
            </c:strRef>
          </c:tx>
          <c:xVal>
            <c:numRef>
              <c:f>Statistics!$P$401:$P$405</c:f>
              <c:numCache>
                <c:formatCode>General</c:formatCode>
                <c:ptCount val="5"/>
                <c:pt idx="0">
                  <c:v>1.3802112417116059</c:v>
                </c:pt>
                <c:pt idx="1">
                  <c:v>1.9822712330395684</c:v>
                </c:pt>
                <c:pt idx="2">
                  <c:v>2.4771212547196626</c:v>
                </c:pt>
                <c:pt idx="3">
                  <c:v>2.8750612633917001</c:v>
                </c:pt>
                <c:pt idx="4">
                  <c:v>3.3010299956639813</c:v>
                </c:pt>
              </c:numCache>
            </c:numRef>
          </c:xVal>
          <c:yVal>
            <c:numRef>
              <c:f>Statistics!$V$401:$V$405</c:f>
              <c:numCache>
                <c:formatCode>General</c:formatCode>
                <c:ptCount val="5"/>
                <c:pt idx="0">
                  <c:v>0.70434154045824493</c:v>
                </c:pt>
                <c:pt idx="1">
                  <c:v>0.31130520444730425</c:v>
                </c:pt>
                <c:pt idx="2">
                  <c:v>8.3629776576678541E-2</c:v>
                </c:pt>
                <c:pt idx="3">
                  <c:v>-4.5033952365414354E-2</c:v>
                </c:pt>
                <c:pt idx="4">
                  <c:v>-0.25428049431541189</c:v>
                </c:pt>
              </c:numCache>
            </c:numRef>
          </c:yVal>
        </c:ser>
        <c:ser>
          <c:idx val="4"/>
          <c:order val="3"/>
          <c:tx>
            <c:strRef>
              <c:f>Statistics!$Q$394</c:f>
              <c:strCache>
                <c:ptCount val="1"/>
                <c:pt idx="0">
                  <c:v>V1</c:v>
                </c:pt>
              </c:strCache>
            </c:strRef>
          </c:tx>
          <c:xVal>
            <c:numRef>
              <c:f>Statistics!$Q$401:$Q$405</c:f>
              <c:numCache>
                <c:formatCode>General</c:formatCode>
                <c:ptCount val="5"/>
                <c:pt idx="0">
                  <c:v>1.8573324964312685</c:v>
                </c:pt>
                <c:pt idx="1">
                  <c:v>2.3802112417116059</c:v>
                </c:pt>
                <c:pt idx="2">
                  <c:v>2.9030899869919438</c:v>
                </c:pt>
                <c:pt idx="3">
                  <c:v>3.255272505103306</c:v>
                </c:pt>
                <c:pt idx="4">
                  <c:v>3.6989700043360187</c:v>
                </c:pt>
              </c:numCache>
            </c:numRef>
          </c:xVal>
          <c:yVal>
            <c:numRef>
              <c:f>Statistics!$W$401:$W$405</c:f>
              <c:numCache>
                <c:formatCode>General</c:formatCode>
                <c:ptCount val="5"/>
                <c:pt idx="0">
                  <c:v>-2.2995296720820988E-2</c:v>
                </c:pt>
                <c:pt idx="1">
                  <c:v>-0.53333303150369782</c:v>
                </c:pt>
                <c:pt idx="2">
                  <c:v>-0.91339768178605418</c:v>
                </c:pt>
                <c:pt idx="3">
                  <c:v>-1.0053693243530701</c:v>
                </c:pt>
                <c:pt idx="4">
                  <c:v>-1.3491162289681504</c:v>
                </c:pt>
              </c:numCache>
            </c:numRef>
          </c:yVal>
        </c:ser>
        <c:ser>
          <c:idx val="5"/>
          <c:order val="4"/>
          <c:tx>
            <c:strRef>
              <c:f>Statistics!$R$394</c:f>
              <c:strCache>
                <c:ptCount val="1"/>
                <c:pt idx="0">
                  <c:v>V2</c:v>
                </c:pt>
              </c:strCache>
            </c:strRef>
          </c:tx>
          <c:xVal>
            <c:numRef>
              <c:f>Statistics!$R$401:$R$405</c:f>
              <c:numCache>
                <c:formatCode>General</c:formatCode>
                <c:ptCount val="5"/>
                <c:pt idx="0">
                  <c:v>2.1583624920952498</c:v>
                </c:pt>
                <c:pt idx="1">
                  <c:v>2.6020599913279625</c:v>
                </c:pt>
                <c:pt idx="2">
                  <c:v>3.2041199826559246</c:v>
                </c:pt>
                <c:pt idx="3">
                  <c:v>3.5563025007672873</c:v>
                </c:pt>
                <c:pt idx="4">
                  <c:v>4</c:v>
                </c:pt>
              </c:numCache>
            </c:numRef>
          </c:xVal>
          <c:yVal>
            <c:numRef>
              <c:f>Statistics!$X$401:$X$405</c:f>
              <c:numCache>
                <c:formatCode>General</c:formatCode>
                <c:ptCount val="5"/>
                <c:pt idx="0">
                  <c:v>7.8216772002090124E-2</c:v>
                </c:pt>
                <c:pt idx="1">
                  <c:v>-0.12975337057494693</c:v>
                </c:pt>
                <c:pt idx="2">
                  <c:v>-0.82815124825602715</c:v>
                </c:pt>
                <c:pt idx="3">
                  <c:v>-1.0768428970861044</c:v>
                </c:pt>
                <c:pt idx="4">
                  <c:v>-1.5868679495651279</c:v>
                </c:pt>
              </c:numCache>
            </c:numRef>
          </c:yVal>
        </c:ser>
        <c:ser>
          <c:idx val="6"/>
          <c:order val="5"/>
          <c:tx>
            <c:strRef>
              <c:f>Statistics!$S$394</c:f>
              <c:strCache>
                <c:ptCount val="1"/>
                <c:pt idx="0">
                  <c:v>V3</c:v>
                </c:pt>
              </c:strCache>
            </c:strRef>
          </c:tx>
          <c:xVal>
            <c:numRef>
              <c:f>Statistics!$S$401:$S$405</c:f>
              <c:numCache>
                <c:formatCode>General</c:formatCode>
                <c:ptCount val="5"/>
                <c:pt idx="0">
                  <c:v>1.6812412373755872</c:v>
                </c:pt>
                <c:pt idx="1">
                  <c:v>2.2041199826559246</c:v>
                </c:pt>
                <c:pt idx="2">
                  <c:v>2.7781512503836434</c:v>
                </c:pt>
                <c:pt idx="3">
                  <c:v>3.1760912590556813</c:v>
                </c:pt>
                <c:pt idx="4">
                  <c:v>3.6020599913279625</c:v>
                </c:pt>
              </c:numCache>
            </c:numRef>
          </c:xVal>
          <c:yVal>
            <c:numRef>
              <c:f>Statistics!$Y$401:$Y$405</c:f>
              <c:numCache>
                <c:formatCode>General</c:formatCode>
                <c:ptCount val="5"/>
                <c:pt idx="0">
                  <c:v>0.53395447048365563</c:v>
                </c:pt>
                <c:pt idx="1">
                  <c:v>0.33746283546961575</c:v>
                </c:pt>
                <c:pt idx="2">
                  <c:v>8.4378164087519844E-2</c:v>
                </c:pt>
                <c:pt idx="3">
                  <c:v>-4.7156131483111131E-2</c:v>
                </c:pt>
                <c:pt idx="4">
                  <c:v>-0.48927212865996078</c:v>
                </c:pt>
              </c:numCache>
            </c:numRef>
          </c:yVal>
        </c:ser>
        <c:axId val="103259520"/>
        <c:axId val="103273984"/>
      </c:scatterChart>
      <c:valAx>
        <c:axId val="1032595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Логарифм от числа слагаемых в двойной сумме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03273984"/>
        <c:crosses val="autoZero"/>
        <c:crossBetween val="midCat"/>
      </c:valAx>
      <c:valAx>
        <c:axId val="1032739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Относительное отклонение, </a:t>
                </a:r>
                <a:r>
                  <a:rPr lang="en-US"/>
                  <a:t>Lg(%)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0325952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000"/>
            </a:pPr>
            <a:r>
              <a:rPr lang="ru-RU" sz="1000"/>
              <a:t>Среднее</a:t>
            </a:r>
            <a:r>
              <a:rPr lang="en-US" sz="1000"/>
              <a:t>  </a:t>
            </a:r>
            <a:r>
              <a:rPr lang="ru-RU" sz="1000"/>
              <a:t>относительное отклонение элементов матрицы воспроизводства в ценах производства от </a:t>
            </a:r>
            <a:r>
              <a:rPr lang="ru-RU" sz="1000" baseline="0"/>
              <a:t> элементов матрицы, составленной из средних значений.</a:t>
            </a:r>
            <a:endParaRPr lang="ru-RU" sz="1000"/>
          </a:p>
        </c:rich>
      </c:tx>
    </c:title>
    <c:plotArea>
      <c:layout/>
      <c:scatterChart>
        <c:scatterStyle val="lineMarker"/>
        <c:ser>
          <c:idx val="0"/>
          <c:order val="0"/>
          <c:tx>
            <c:v>Среднее</c:v>
          </c:tx>
          <c:xVal>
            <c:numRef>
              <c:f>Statistics!$Z$462:$Z$465</c:f>
              <c:numCache>
                <c:formatCode>General</c:formatCode>
                <c:ptCount val="4"/>
                <c:pt idx="0">
                  <c:v>22</c:v>
                </c:pt>
                <c:pt idx="1">
                  <c:v>115</c:v>
                </c:pt>
                <c:pt idx="2">
                  <c:v>435</c:v>
                </c:pt>
                <c:pt idx="3">
                  <c:v>650</c:v>
                </c:pt>
              </c:numCache>
            </c:numRef>
          </c:xVal>
          <c:yVal>
            <c:numRef>
              <c:f>Statistics!$AA$462:$AA$465</c:f>
              <c:numCache>
                <c:formatCode>General</c:formatCode>
                <c:ptCount val="4"/>
                <c:pt idx="0">
                  <c:v>6.0298691119047616</c:v>
                </c:pt>
                <c:pt idx="1">
                  <c:v>2.1882134722222224</c:v>
                </c:pt>
                <c:pt idx="2">
                  <c:v>1.0626339416666668</c:v>
                </c:pt>
                <c:pt idx="3">
                  <c:v>0.88224216258333343</c:v>
                </c:pt>
              </c:numCache>
            </c:numRef>
          </c:yVal>
        </c:ser>
        <c:axId val="103277696"/>
        <c:axId val="103447168"/>
      </c:scatterChart>
      <c:valAx>
        <c:axId val="1032776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Число</a:t>
                </a:r>
                <a:r>
                  <a:rPr lang="ru-RU" baseline="0"/>
                  <a:t> отраслей, </a:t>
                </a:r>
                <a:r>
                  <a:rPr lang="en-US" baseline="0"/>
                  <a:t>N</a:t>
                </a:r>
                <a:endParaRPr lang="ru-RU"/>
              </a:p>
            </c:rich>
          </c:tx>
        </c:title>
        <c:numFmt formatCode="General" sourceLinked="1"/>
        <c:majorTickMark val="none"/>
        <c:tickLblPos val="nextTo"/>
        <c:crossAx val="103447168"/>
        <c:crosses val="autoZero"/>
        <c:crossBetween val="midCat"/>
      </c:valAx>
      <c:valAx>
        <c:axId val="1034471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Относительное</a:t>
                </a:r>
                <a:r>
                  <a:rPr lang="ru-RU" baseline="0"/>
                  <a:t> отклонение, %</a:t>
                </a:r>
                <a:endParaRPr lang="ru-RU"/>
              </a:p>
            </c:rich>
          </c:tx>
        </c:title>
        <c:numFmt formatCode="General" sourceLinked="1"/>
        <c:majorTickMark val="none"/>
        <c:tickLblPos val="nextTo"/>
        <c:crossAx val="10327769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000"/>
            </a:pPr>
            <a:r>
              <a:rPr lang="ru-RU" sz="1000"/>
              <a:t>Среднее</a:t>
            </a:r>
            <a:r>
              <a:rPr lang="ru-RU" sz="1000" baseline="0"/>
              <a:t> о</a:t>
            </a:r>
            <a:r>
              <a:rPr lang="ru-RU" sz="1000"/>
              <a:t>тносительное</a:t>
            </a:r>
            <a:r>
              <a:rPr lang="ru-RU" sz="1000" baseline="0"/>
              <a:t> отклонение отдельных элементов матрицы воспроизводства в ценах производства от  элементов матрицы, составленной из средних значений. </a:t>
            </a:r>
            <a:endParaRPr lang="ru-RU" sz="1000"/>
          </a:p>
        </c:rich>
      </c:tx>
    </c:title>
    <c:plotArea>
      <c:layout>
        <c:manualLayout>
          <c:layoutTarget val="inner"/>
          <c:xMode val="edge"/>
          <c:yMode val="edge"/>
          <c:x val="0.13433552055992998"/>
          <c:y val="0.26236695671114402"/>
          <c:w val="0.69822003499562568"/>
          <c:h val="0.61641244521371952"/>
        </c:manualLayout>
      </c:layout>
      <c:scatterChart>
        <c:scatterStyle val="smoothMarker"/>
        <c:ser>
          <c:idx val="0"/>
          <c:order val="0"/>
          <c:tx>
            <c:strRef>
              <c:f>Statistics!$N$461</c:f>
              <c:strCache>
                <c:ptCount val="1"/>
                <c:pt idx="0">
                  <c:v>C1</c:v>
                </c:pt>
              </c:strCache>
            </c:strRef>
          </c:tx>
          <c:xVal>
            <c:numRef>
              <c:f>Statistics!$N$467:$N$470</c:f>
              <c:numCache>
                <c:formatCode>General</c:formatCode>
                <c:ptCount val="4"/>
                <c:pt idx="0">
                  <c:v>1.5563025007672873</c:v>
                </c:pt>
                <c:pt idx="1">
                  <c:v>2.9542425094393248</c:v>
                </c:pt>
                <c:pt idx="2">
                  <c:v>4.3521825181113627</c:v>
                </c:pt>
                <c:pt idx="3">
                  <c:v>4.795880017344075</c:v>
                </c:pt>
              </c:numCache>
            </c:numRef>
          </c:xVal>
          <c:yVal>
            <c:numRef>
              <c:f>Statistics!$T$467:$T$470</c:f>
              <c:numCache>
                <c:formatCode>General</c:formatCode>
                <c:ptCount val="4"/>
                <c:pt idx="0">
                  <c:v>0.44640511899320895</c:v>
                </c:pt>
                <c:pt idx="1">
                  <c:v>-0.2239819021458386</c:v>
                </c:pt>
                <c:pt idx="2">
                  <c:v>-1.0845849937691729</c:v>
                </c:pt>
                <c:pt idx="3">
                  <c:v>-1.3888129837809784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Statistics!$O$461</c:f>
              <c:strCache>
                <c:ptCount val="1"/>
                <c:pt idx="0">
                  <c:v>C2</c:v>
                </c:pt>
              </c:strCache>
            </c:strRef>
          </c:tx>
          <c:xVal>
            <c:numRef>
              <c:f>Statistics!$O$467:$O$470</c:f>
              <c:numCache>
                <c:formatCode>General</c:formatCode>
                <c:ptCount val="4"/>
                <c:pt idx="0">
                  <c:v>1.8573324964312685</c:v>
                </c:pt>
                <c:pt idx="1">
                  <c:v>3.255272505103306</c:v>
                </c:pt>
                <c:pt idx="2">
                  <c:v>4.4771212547196626</c:v>
                </c:pt>
                <c:pt idx="3">
                  <c:v>4.8750612633917001</c:v>
                </c:pt>
              </c:numCache>
            </c:numRef>
          </c:xVal>
          <c:yVal>
            <c:numRef>
              <c:f>Statistics!$U$467:$U$470</c:f>
              <c:numCache>
                <c:formatCode>General</c:formatCode>
                <c:ptCount val="4"/>
                <c:pt idx="0">
                  <c:v>0.42598919016262959</c:v>
                </c:pt>
                <c:pt idx="1">
                  <c:v>-4.7336736356405791E-3</c:v>
                </c:pt>
                <c:pt idx="2">
                  <c:v>-0.80797910355608815</c:v>
                </c:pt>
                <c:pt idx="3">
                  <c:v>-1.0690812635838867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Statistics!$P$461</c:f>
              <c:strCache>
                <c:ptCount val="1"/>
                <c:pt idx="0">
                  <c:v>C3</c:v>
                </c:pt>
              </c:strCache>
            </c:strRef>
          </c:tx>
          <c:xVal>
            <c:numRef>
              <c:f>Statistics!$P$467:$P$470</c:f>
              <c:numCache>
                <c:formatCode>General</c:formatCode>
                <c:ptCount val="4"/>
                <c:pt idx="0">
                  <c:v>1.3802112417116059</c:v>
                </c:pt>
                <c:pt idx="1">
                  <c:v>2.8750612633917001</c:v>
                </c:pt>
                <c:pt idx="2">
                  <c:v>4.1055101847699742</c:v>
                </c:pt>
                <c:pt idx="3">
                  <c:v>4.3979400086720375</c:v>
                </c:pt>
              </c:numCache>
            </c:numRef>
          </c:xVal>
          <c:yVal>
            <c:numRef>
              <c:f>Statistics!$V$467:$V$470</c:f>
              <c:numCache>
                <c:formatCode>General</c:formatCode>
                <c:ptCount val="4"/>
                <c:pt idx="0">
                  <c:v>0.77974375642563876</c:v>
                </c:pt>
                <c:pt idx="1">
                  <c:v>7.337578843433383E-2</c:v>
                </c:pt>
                <c:pt idx="2">
                  <c:v>-0.71941252502123998</c:v>
                </c:pt>
                <c:pt idx="3">
                  <c:v>-0.88122024750036865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Statistics!$Q$461</c:f>
              <c:strCache>
                <c:ptCount val="1"/>
                <c:pt idx="0">
                  <c:v>V1</c:v>
                </c:pt>
              </c:strCache>
            </c:strRef>
          </c:tx>
          <c:xVal>
            <c:numRef>
              <c:f>Statistics!$Q$467:$Q$470</c:f>
              <c:numCache>
                <c:formatCode>General</c:formatCode>
                <c:ptCount val="4"/>
                <c:pt idx="0">
                  <c:v>1.8573324964312685</c:v>
                </c:pt>
                <c:pt idx="1">
                  <c:v>3.255272505103306</c:v>
                </c:pt>
                <c:pt idx="2">
                  <c:v>4.4771212547196626</c:v>
                </c:pt>
                <c:pt idx="3">
                  <c:v>4.8750612633917001</c:v>
                </c:pt>
              </c:numCache>
            </c:numRef>
          </c:xVal>
          <c:yVal>
            <c:numRef>
              <c:f>Statistics!$W$467:$W$470</c:f>
              <c:numCache>
                <c:formatCode>General</c:formatCode>
                <c:ptCount val="4"/>
                <c:pt idx="0">
                  <c:v>0.49981890200740786</c:v>
                </c:pt>
                <c:pt idx="1">
                  <c:v>0.13117623276837484</c:v>
                </c:pt>
                <c:pt idx="2">
                  <c:v>7.2877708870299443E-2</c:v>
                </c:pt>
                <c:pt idx="3">
                  <c:v>-0.5355062050258067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Statistics!$R$461</c:f>
              <c:strCache>
                <c:ptCount val="1"/>
                <c:pt idx="0">
                  <c:v>V2</c:v>
                </c:pt>
              </c:strCache>
            </c:strRef>
          </c:tx>
          <c:xVal>
            <c:numRef>
              <c:f>Statistics!$R$467:$R$470</c:f>
              <c:numCache>
                <c:formatCode>General</c:formatCode>
                <c:ptCount val="4"/>
                <c:pt idx="0">
                  <c:v>2.1583624920952498</c:v>
                </c:pt>
                <c:pt idx="1">
                  <c:v>3.5563025007672873</c:v>
                </c:pt>
                <c:pt idx="2">
                  <c:v>4.6020599913279625</c:v>
                </c:pt>
                <c:pt idx="3">
                  <c:v>4.9542425094393252</c:v>
                </c:pt>
              </c:numCache>
            </c:numRef>
          </c:xVal>
          <c:yVal>
            <c:numRef>
              <c:f>Statistics!$X$467:$X$470</c:f>
              <c:numCache>
                <c:formatCode>General</c:formatCode>
                <c:ptCount val="4"/>
                <c:pt idx="0">
                  <c:v>0.84332551975274628</c:v>
                </c:pt>
                <c:pt idx="1">
                  <c:v>0.75477452011435131</c:v>
                </c:pt>
                <c:pt idx="2">
                  <c:v>0.63012760459707884</c:v>
                </c:pt>
                <c:pt idx="3">
                  <c:v>-2.1141513019966206E-2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Statistics!$S$461</c:f>
              <c:strCache>
                <c:ptCount val="1"/>
                <c:pt idx="0">
                  <c:v>V3</c:v>
                </c:pt>
              </c:strCache>
            </c:strRef>
          </c:tx>
          <c:xVal>
            <c:numRef>
              <c:f>Statistics!$S$467:$S$470</c:f>
              <c:numCache>
                <c:formatCode>General</c:formatCode>
                <c:ptCount val="4"/>
                <c:pt idx="0">
                  <c:v>1.6812412373755872</c:v>
                </c:pt>
                <c:pt idx="1">
                  <c:v>3.1760912590556813</c:v>
                </c:pt>
                <c:pt idx="2">
                  <c:v>4.2304489213782741</c:v>
                </c:pt>
                <c:pt idx="3">
                  <c:v>4.4771212547196626</c:v>
                </c:pt>
              </c:numCache>
            </c:numRef>
          </c:xVal>
          <c:yVal>
            <c:numRef>
              <c:f>Statistics!$Y$467:$Y$470</c:f>
              <c:numCache>
                <c:formatCode>General</c:formatCode>
                <c:ptCount val="4"/>
                <c:pt idx="0">
                  <c:v>1.1171402001610873</c:v>
                </c:pt>
                <c:pt idx="1">
                  <c:v>0.52124239342014578</c:v>
                </c:pt>
                <c:pt idx="2">
                  <c:v>-0.30335053955353303</c:v>
                </c:pt>
                <c:pt idx="3">
                  <c:v>0.57886432012778599</c:v>
                </c:pt>
              </c:numCache>
            </c:numRef>
          </c:yVal>
          <c:smooth val="1"/>
        </c:ser>
        <c:axId val="103365248"/>
        <c:axId val="103371520"/>
      </c:scatterChart>
      <c:valAx>
        <c:axId val="1033652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ru-RU" sz="800"/>
                  <a:t>Логарифм</a:t>
                </a:r>
                <a:r>
                  <a:rPr lang="ru-RU" sz="800" baseline="0"/>
                  <a:t> от числа членов в двойной сумме</a:t>
                </a:r>
                <a:endParaRPr lang="ru-RU" sz="800"/>
              </a:p>
            </c:rich>
          </c:tx>
        </c:title>
        <c:numFmt formatCode="General" sourceLinked="1"/>
        <c:majorTickMark val="none"/>
        <c:tickLblPos val="nextTo"/>
        <c:crossAx val="103371520"/>
        <c:crosses val="autoZero"/>
        <c:crossBetween val="midCat"/>
      </c:valAx>
      <c:valAx>
        <c:axId val="103371520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ru-RU" sz="800"/>
                  <a:t>Логарифм</a:t>
                </a:r>
                <a:r>
                  <a:rPr lang="ru-RU" sz="800" baseline="0"/>
                  <a:t> от относительного среднего отклонения</a:t>
                </a:r>
                <a:endParaRPr lang="ru-RU" sz="800"/>
              </a:p>
            </c:rich>
          </c:tx>
          <c:layout>
            <c:manualLayout>
              <c:xMode val="edge"/>
              <c:yMode val="edge"/>
              <c:x val="0.13333333333333339"/>
              <c:y val="0.27493506507697668"/>
            </c:manualLayout>
          </c:layout>
        </c:title>
        <c:numFmt formatCode="General" sourceLinked="1"/>
        <c:majorTickMark val="none"/>
        <c:tickLblPos val="nextTo"/>
        <c:crossAx val="10336524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13" Type="http://schemas.openxmlformats.org/officeDocument/2006/relationships/chart" Target="../charts/chart16.xml"/><Relationship Id="rId18" Type="http://schemas.openxmlformats.org/officeDocument/2006/relationships/chart" Target="../charts/chart21.xml"/><Relationship Id="rId26" Type="http://schemas.openxmlformats.org/officeDocument/2006/relationships/chart" Target="../charts/chart29.xml"/><Relationship Id="rId3" Type="http://schemas.openxmlformats.org/officeDocument/2006/relationships/chart" Target="../charts/chart6.xml"/><Relationship Id="rId21" Type="http://schemas.openxmlformats.org/officeDocument/2006/relationships/chart" Target="../charts/chart24.xml"/><Relationship Id="rId7" Type="http://schemas.openxmlformats.org/officeDocument/2006/relationships/chart" Target="../charts/chart10.xml"/><Relationship Id="rId12" Type="http://schemas.openxmlformats.org/officeDocument/2006/relationships/chart" Target="../charts/chart15.xml"/><Relationship Id="rId17" Type="http://schemas.openxmlformats.org/officeDocument/2006/relationships/chart" Target="../charts/chart20.xml"/><Relationship Id="rId25" Type="http://schemas.openxmlformats.org/officeDocument/2006/relationships/chart" Target="../charts/chart28.xml"/><Relationship Id="rId2" Type="http://schemas.openxmlformats.org/officeDocument/2006/relationships/chart" Target="../charts/chart5.xml"/><Relationship Id="rId16" Type="http://schemas.openxmlformats.org/officeDocument/2006/relationships/chart" Target="../charts/chart19.xml"/><Relationship Id="rId20" Type="http://schemas.openxmlformats.org/officeDocument/2006/relationships/chart" Target="../charts/chart23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11" Type="http://schemas.openxmlformats.org/officeDocument/2006/relationships/chart" Target="../charts/chart14.xml"/><Relationship Id="rId24" Type="http://schemas.openxmlformats.org/officeDocument/2006/relationships/chart" Target="../charts/chart27.xml"/><Relationship Id="rId5" Type="http://schemas.openxmlformats.org/officeDocument/2006/relationships/chart" Target="../charts/chart8.xml"/><Relationship Id="rId15" Type="http://schemas.openxmlformats.org/officeDocument/2006/relationships/chart" Target="../charts/chart18.xml"/><Relationship Id="rId23" Type="http://schemas.openxmlformats.org/officeDocument/2006/relationships/chart" Target="../charts/chart26.xml"/><Relationship Id="rId10" Type="http://schemas.openxmlformats.org/officeDocument/2006/relationships/chart" Target="../charts/chart13.xml"/><Relationship Id="rId19" Type="http://schemas.openxmlformats.org/officeDocument/2006/relationships/chart" Target="../charts/chart22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Relationship Id="rId14" Type="http://schemas.openxmlformats.org/officeDocument/2006/relationships/chart" Target="../charts/chart17.xml"/><Relationship Id="rId22" Type="http://schemas.openxmlformats.org/officeDocument/2006/relationships/chart" Target="../charts/chart25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5" Type="http://schemas.openxmlformats.org/officeDocument/2006/relationships/image" Target="../media/image10.emf"/><Relationship Id="rId4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781050</xdr:colOff>
      <xdr:row>58</xdr:row>
      <xdr:rowOff>66675</xdr:rowOff>
    </xdr:from>
    <xdr:to>
      <xdr:col>12</xdr:col>
      <xdr:colOff>1276350</xdr:colOff>
      <xdr:row>72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857250</xdr:colOff>
      <xdr:row>74</xdr:row>
      <xdr:rowOff>161925</xdr:rowOff>
    </xdr:from>
    <xdr:to>
      <xdr:col>12</xdr:col>
      <xdr:colOff>1352550</xdr:colOff>
      <xdr:row>89</xdr:row>
      <xdr:rowOff>47625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495300</xdr:colOff>
      <xdr:row>75</xdr:row>
      <xdr:rowOff>152399</xdr:rowOff>
    </xdr:from>
    <xdr:to>
      <xdr:col>56</xdr:col>
      <xdr:colOff>190500</xdr:colOff>
      <xdr:row>90</xdr:row>
      <xdr:rowOff>123824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19050</xdr:colOff>
      <xdr:row>19</xdr:row>
      <xdr:rowOff>180975</xdr:rowOff>
    </xdr:from>
    <xdr:to>
      <xdr:col>30</xdr:col>
      <xdr:colOff>323850</xdr:colOff>
      <xdr:row>38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19050</xdr:colOff>
      <xdr:row>2</xdr:row>
      <xdr:rowOff>47625</xdr:rowOff>
    </xdr:from>
    <xdr:to>
      <xdr:col>30</xdr:col>
      <xdr:colOff>323850</xdr:colOff>
      <xdr:row>19</xdr:row>
      <xdr:rowOff>123825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161925</xdr:colOff>
      <xdr:row>45</xdr:row>
      <xdr:rowOff>447675</xdr:rowOff>
    </xdr:from>
    <xdr:to>
      <xdr:col>22</xdr:col>
      <xdr:colOff>685800</xdr:colOff>
      <xdr:row>55</xdr:row>
      <xdr:rowOff>123825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371475</xdr:colOff>
      <xdr:row>73</xdr:row>
      <xdr:rowOff>0</xdr:rowOff>
    </xdr:from>
    <xdr:to>
      <xdr:col>22</xdr:col>
      <xdr:colOff>628650</xdr:colOff>
      <xdr:row>85</xdr:row>
      <xdr:rowOff>9525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0</xdr:colOff>
      <xdr:row>45</xdr:row>
      <xdr:rowOff>0</xdr:rowOff>
    </xdr:from>
    <xdr:to>
      <xdr:col>34</xdr:col>
      <xdr:colOff>304800</xdr:colOff>
      <xdr:row>53</xdr:row>
      <xdr:rowOff>66675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0</xdr:colOff>
      <xdr:row>73</xdr:row>
      <xdr:rowOff>0</xdr:rowOff>
    </xdr:from>
    <xdr:to>
      <xdr:col>34</xdr:col>
      <xdr:colOff>304800</xdr:colOff>
      <xdr:row>85</xdr:row>
      <xdr:rowOff>9525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657225</xdr:colOff>
      <xdr:row>87</xdr:row>
      <xdr:rowOff>419100</xdr:rowOff>
    </xdr:from>
    <xdr:to>
      <xdr:col>25</xdr:col>
      <xdr:colOff>180975</xdr:colOff>
      <xdr:row>99</xdr:row>
      <xdr:rowOff>257175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552450</xdr:colOff>
      <xdr:row>89</xdr:row>
      <xdr:rowOff>314325</xdr:rowOff>
    </xdr:from>
    <xdr:to>
      <xdr:col>34</xdr:col>
      <xdr:colOff>247650</xdr:colOff>
      <xdr:row>104</xdr:row>
      <xdr:rowOff>142875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1114425</xdr:colOff>
      <xdr:row>242</xdr:row>
      <xdr:rowOff>104775</xdr:rowOff>
    </xdr:from>
    <xdr:to>
      <xdr:col>24</xdr:col>
      <xdr:colOff>581026</xdr:colOff>
      <xdr:row>256</xdr:row>
      <xdr:rowOff>114300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838200</xdr:colOff>
      <xdr:row>252</xdr:row>
      <xdr:rowOff>323850</xdr:rowOff>
    </xdr:from>
    <xdr:to>
      <xdr:col>18</xdr:col>
      <xdr:colOff>180975</xdr:colOff>
      <xdr:row>268</xdr:row>
      <xdr:rowOff>38100</xdr:rowOff>
    </xdr:to>
    <xdr:graphicFrame macro="">
      <xdr:nvGraphicFramePr>
        <xdr:cNvPr id="13" name="Диаграмма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428625</xdr:colOff>
      <xdr:row>261</xdr:row>
      <xdr:rowOff>76199</xdr:rowOff>
    </xdr:from>
    <xdr:to>
      <xdr:col>13</xdr:col>
      <xdr:colOff>1190625</xdr:colOff>
      <xdr:row>277</xdr:row>
      <xdr:rowOff>9524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504825</xdr:colOff>
      <xdr:row>277</xdr:row>
      <xdr:rowOff>171450</xdr:rowOff>
    </xdr:from>
    <xdr:to>
      <xdr:col>14</xdr:col>
      <xdr:colOff>152400</xdr:colOff>
      <xdr:row>293</xdr:row>
      <xdr:rowOff>19050</xdr:rowOff>
    </xdr:to>
    <xdr:graphicFrame macro="">
      <xdr:nvGraphicFramePr>
        <xdr:cNvPr id="15" name="Диаграмма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175933</xdr:colOff>
      <xdr:row>260</xdr:row>
      <xdr:rowOff>89647</xdr:rowOff>
    </xdr:from>
    <xdr:to>
      <xdr:col>3</xdr:col>
      <xdr:colOff>452718</xdr:colOff>
      <xdr:row>276</xdr:row>
      <xdr:rowOff>188259</xdr:rowOff>
    </xdr:to>
    <xdr:graphicFrame macro="">
      <xdr:nvGraphicFramePr>
        <xdr:cNvPr id="16" name="Диаграмма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572620</xdr:colOff>
      <xdr:row>261</xdr:row>
      <xdr:rowOff>3922</xdr:rowOff>
    </xdr:from>
    <xdr:to>
      <xdr:col>6</xdr:col>
      <xdr:colOff>756397</xdr:colOff>
      <xdr:row>277</xdr:row>
      <xdr:rowOff>137272</xdr:rowOff>
    </xdr:to>
    <xdr:graphicFrame macro="">
      <xdr:nvGraphicFramePr>
        <xdr:cNvPr id="17" name="Диаграмма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523875</xdr:colOff>
      <xdr:row>261</xdr:row>
      <xdr:rowOff>133350</xdr:rowOff>
    </xdr:from>
    <xdr:to>
      <xdr:col>22</xdr:col>
      <xdr:colOff>466725</xdr:colOff>
      <xdr:row>276</xdr:row>
      <xdr:rowOff>19050</xdr:rowOff>
    </xdr:to>
    <xdr:graphicFrame macro="">
      <xdr:nvGraphicFramePr>
        <xdr:cNvPr id="18" name="Диаграмма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1543050</xdr:colOff>
      <xdr:row>225</xdr:row>
      <xdr:rowOff>133350</xdr:rowOff>
    </xdr:from>
    <xdr:to>
      <xdr:col>21</xdr:col>
      <xdr:colOff>180976</xdr:colOff>
      <xdr:row>237</xdr:row>
      <xdr:rowOff>171450</xdr:rowOff>
    </xdr:to>
    <xdr:graphicFrame macro="">
      <xdr:nvGraphicFramePr>
        <xdr:cNvPr id="19" name="Диаграмма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0</xdr:colOff>
      <xdr:row>223</xdr:row>
      <xdr:rowOff>0</xdr:rowOff>
    </xdr:from>
    <xdr:to>
      <xdr:col>27</xdr:col>
      <xdr:colOff>247651</xdr:colOff>
      <xdr:row>235</xdr:row>
      <xdr:rowOff>19050</xdr:rowOff>
    </xdr:to>
    <xdr:graphicFrame macro="">
      <xdr:nvGraphicFramePr>
        <xdr:cNvPr id="20" name="Диаграмма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29</xdr:col>
      <xdr:colOff>0</xdr:colOff>
      <xdr:row>223</xdr:row>
      <xdr:rowOff>0</xdr:rowOff>
    </xdr:from>
    <xdr:to>
      <xdr:col>36</xdr:col>
      <xdr:colOff>390526</xdr:colOff>
      <xdr:row>235</xdr:row>
      <xdr:rowOff>19050</xdr:rowOff>
    </xdr:to>
    <xdr:graphicFrame macro="">
      <xdr:nvGraphicFramePr>
        <xdr:cNvPr id="21" name="Диаграмма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14</xdr:col>
      <xdr:colOff>552449</xdr:colOff>
      <xdr:row>278</xdr:row>
      <xdr:rowOff>9525</xdr:rowOff>
    </xdr:from>
    <xdr:to>
      <xdr:col>18</xdr:col>
      <xdr:colOff>38099</xdr:colOff>
      <xdr:row>292</xdr:row>
      <xdr:rowOff>180975</xdr:rowOff>
    </xdr:to>
    <xdr:graphicFrame macro="">
      <xdr:nvGraphicFramePr>
        <xdr:cNvPr id="22" name="Диаграмма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19</xdr:col>
      <xdr:colOff>0</xdr:colOff>
      <xdr:row>278</xdr:row>
      <xdr:rowOff>0</xdr:rowOff>
    </xdr:from>
    <xdr:to>
      <xdr:col>23</xdr:col>
      <xdr:colOff>57150</xdr:colOff>
      <xdr:row>292</xdr:row>
      <xdr:rowOff>76200</xdr:rowOff>
    </xdr:to>
    <xdr:graphicFrame macro="">
      <xdr:nvGraphicFramePr>
        <xdr:cNvPr id="23" name="Диаграмма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19</xdr:col>
      <xdr:colOff>0</xdr:colOff>
      <xdr:row>294</xdr:row>
      <xdr:rowOff>0</xdr:rowOff>
    </xdr:from>
    <xdr:to>
      <xdr:col>23</xdr:col>
      <xdr:colOff>57150</xdr:colOff>
      <xdr:row>308</xdr:row>
      <xdr:rowOff>19050</xdr:rowOff>
    </xdr:to>
    <xdr:graphicFrame macro="">
      <xdr:nvGraphicFramePr>
        <xdr:cNvPr id="25" name="Диаграмма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41</xdr:col>
      <xdr:colOff>347383</xdr:colOff>
      <xdr:row>393</xdr:row>
      <xdr:rowOff>0</xdr:rowOff>
    </xdr:from>
    <xdr:to>
      <xdr:col>49</xdr:col>
      <xdr:colOff>78441</xdr:colOff>
      <xdr:row>406</xdr:row>
      <xdr:rowOff>78441</xdr:rowOff>
    </xdr:to>
    <xdr:graphicFrame macro="">
      <xdr:nvGraphicFramePr>
        <xdr:cNvPr id="24" name="Диаграмма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42</xdr:col>
      <xdr:colOff>0</xdr:colOff>
      <xdr:row>407</xdr:row>
      <xdr:rowOff>134471</xdr:rowOff>
    </xdr:from>
    <xdr:to>
      <xdr:col>50</xdr:col>
      <xdr:colOff>459441</xdr:colOff>
      <xdr:row>425</xdr:row>
      <xdr:rowOff>145677</xdr:rowOff>
    </xdr:to>
    <xdr:graphicFrame macro="">
      <xdr:nvGraphicFramePr>
        <xdr:cNvPr id="26" name="Диаграмма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42</xdr:col>
      <xdr:colOff>0</xdr:colOff>
      <xdr:row>429</xdr:row>
      <xdr:rowOff>0</xdr:rowOff>
    </xdr:from>
    <xdr:to>
      <xdr:col>50</xdr:col>
      <xdr:colOff>459441</xdr:colOff>
      <xdr:row>447</xdr:row>
      <xdr:rowOff>11206</xdr:rowOff>
    </xdr:to>
    <xdr:graphicFrame macro="">
      <xdr:nvGraphicFramePr>
        <xdr:cNvPr id="27" name="Диаграмма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41</xdr:col>
      <xdr:colOff>459441</xdr:colOff>
      <xdr:row>460</xdr:row>
      <xdr:rowOff>89647</xdr:rowOff>
    </xdr:from>
    <xdr:to>
      <xdr:col>49</xdr:col>
      <xdr:colOff>190500</xdr:colOff>
      <xdr:row>474</xdr:row>
      <xdr:rowOff>168088</xdr:rowOff>
    </xdr:to>
    <xdr:graphicFrame macro="">
      <xdr:nvGraphicFramePr>
        <xdr:cNvPr id="28" name="Диаграмма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42</xdr:col>
      <xdr:colOff>235324</xdr:colOff>
      <xdr:row>476</xdr:row>
      <xdr:rowOff>123265</xdr:rowOff>
    </xdr:from>
    <xdr:to>
      <xdr:col>49</xdr:col>
      <xdr:colOff>571500</xdr:colOff>
      <xdr:row>491</xdr:row>
      <xdr:rowOff>11206</xdr:rowOff>
    </xdr:to>
    <xdr:graphicFrame macro="">
      <xdr:nvGraphicFramePr>
        <xdr:cNvPr id="29" name="Диаграмма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1.bin"/><Relationship Id="rId3" Type="http://schemas.openxmlformats.org/officeDocument/2006/relationships/oleObject" Target="../embeddings/oleObject6.bin"/><Relationship Id="rId7" Type="http://schemas.openxmlformats.org/officeDocument/2006/relationships/oleObject" Target="../embeddings/oleObject10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9.bin"/><Relationship Id="rId5" Type="http://schemas.openxmlformats.org/officeDocument/2006/relationships/oleObject" Target="../embeddings/oleObject8.bin"/><Relationship Id="rId4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B7"/>
  <sheetViews>
    <sheetView workbookViewId="0">
      <selection activeCell="C18" sqref="C18"/>
    </sheetView>
  </sheetViews>
  <sheetFormatPr defaultRowHeight="15"/>
  <sheetData>
    <row r="2" spans="2:2">
      <c r="B2" s="30" t="s">
        <v>294</v>
      </c>
    </row>
    <row r="3" spans="2:2">
      <c r="B3" s="120" t="s">
        <v>527</v>
      </c>
    </row>
    <row r="4" spans="2:2">
      <c r="B4" s="120" t="s">
        <v>513</v>
      </c>
    </row>
    <row r="6" spans="2:2">
      <c r="B6" s="97" t="s">
        <v>295</v>
      </c>
    </row>
    <row r="7" spans="2:2">
      <c r="B7" s="30" t="s">
        <v>296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66"/>
  <sheetViews>
    <sheetView topLeftCell="A7" workbookViewId="0">
      <selection activeCell="J12" sqref="J12"/>
    </sheetView>
  </sheetViews>
  <sheetFormatPr defaultRowHeight="15"/>
  <cols>
    <col min="1" max="1" width="6.140625" customWidth="1"/>
    <col min="2" max="2" width="7.42578125" customWidth="1"/>
    <col min="3" max="3" width="8.5703125" customWidth="1"/>
    <col min="4" max="4" width="11.5703125" customWidth="1"/>
    <col min="5" max="5" width="11.85546875" customWidth="1"/>
    <col min="6" max="6" width="12.28515625" customWidth="1"/>
    <col min="7" max="7" width="12.42578125" customWidth="1"/>
    <col min="9" max="9" width="6.85546875" customWidth="1"/>
    <col min="10" max="10" width="18" customWidth="1"/>
    <col min="13" max="13" width="12" bestFit="1" customWidth="1"/>
    <col min="14" max="14" width="10" bestFit="1" customWidth="1"/>
    <col min="17" max="17" width="12" bestFit="1" customWidth="1"/>
    <col min="18" max="18" width="12.28515625" bestFit="1" customWidth="1"/>
    <col min="21" max="21" width="12" bestFit="1" customWidth="1"/>
  </cols>
  <sheetData>
    <row r="1" spans="1:27" ht="23.25" customHeight="1" thickBot="1">
      <c r="A1" s="120" t="s">
        <v>521</v>
      </c>
    </row>
    <row r="2" spans="1:27" ht="16.5" thickTop="1" thickBot="1">
      <c r="A2" s="331" t="s">
        <v>468</v>
      </c>
      <c r="B2" s="332"/>
      <c r="C2" s="332"/>
      <c r="D2" s="332"/>
      <c r="E2" s="332"/>
      <c r="F2" s="332"/>
      <c r="G2" s="332"/>
      <c r="H2" s="332"/>
      <c r="I2" s="333"/>
      <c r="M2" t="s">
        <v>70</v>
      </c>
      <c r="N2">
        <f>(B7-B4-C4)/C4</f>
        <v>1.6</v>
      </c>
    </row>
    <row r="3" spans="1:27" ht="15.75" thickTop="1">
      <c r="A3" s="1"/>
      <c r="B3" s="266" t="s">
        <v>0</v>
      </c>
      <c r="C3" s="266" t="s">
        <v>1</v>
      </c>
      <c r="D3" s="266" t="s">
        <v>469</v>
      </c>
      <c r="E3" s="266" t="s">
        <v>470</v>
      </c>
      <c r="F3" s="266" t="s">
        <v>2</v>
      </c>
      <c r="G3" s="266" t="s">
        <v>6</v>
      </c>
      <c r="H3" s="266" t="s">
        <v>471</v>
      </c>
      <c r="I3" s="267" t="s">
        <v>472</v>
      </c>
      <c r="J3" s="268" t="s">
        <v>467</v>
      </c>
      <c r="M3" t="s">
        <v>472</v>
      </c>
      <c r="N3">
        <f>((B7-B4)*C5+C4*(B5-C7))/((B7-B4-C4)*C7)</f>
        <v>0.60038282966031997</v>
      </c>
    </row>
    <row r="4" spans="1:27">
      <c r="A4" s="4" t="s">
        <v>3</v>
      </c>
      <c r="B4" s="269">
        <v>420</v>
      </c>
      <c r="C4" s="269">
        <v>300</v>
      </c>
      <c r="D4" s="170">
        <f>I4*H4*N$4/N$14</f>
        <v>539.82562921533145</v>
      </c>
      <c r="E4" s="170">
        <f>(1-I4)*N$4*H4/N$16</f>
        <v>162.85234485990659</v>
      </c>
      <c r="F4" s="170">
        <f>D4+E4</f>
        <v>702.67797407523801</v>
      </c>
      <c r="G4" s="170">
        <f>B4+C4+F4</f>
        <v>1422.6779740752381</v>
      </c>
      <c r="H4" s="170">
        <f>B4*N$15+C4*N$14</f>
        <v>750.61556294251648</v>
      </c>
      <c r="I4" s="270">
        <v>0.7</v>
      </c>
      <c r="J4">
        <f>B4/C4</f>
        <v>1.4</v>
      </c>
      <c r="M4" t="s">
        <v>466</v>
      </c>
      <c r="N4">
        <f>F7/(B7+C7)</f>
        <v>0.8795497185741088</v>
      </c>
      <c r="X4" s="118"/>
      <c r="Y4" s="118"/>
      <c r="Z4" s="118"/>
      <c r="AA4" s="118"/>
    </row>
    <row r="5" spans="1:27">
      <c r="A5" s="4" t="s">
        <v>4</v>
      </c>
      <c r="B5" s="170">
        <f>Q12</f>
        <v>428.29735272379008</v>
      </c>
      <c r="C5" s="269">
        <v>940</v>
      </c>
      <c r="D5" s="170">
        <f>I5*H5*N$4/N$14</f>
        <v>403.23407834605098</v>
      </c>
      <c r="E5" s="170">
        <f>(1-I5)*N$4*H5/N$16</f>
        <v>662.29475469595263</v>
      </c>
      <c r="F5" s="170">
        <f>D5+E5</f>
        <v>1065.5288330420035</v>
      </c>
      <c r="G5" s="170">
        <f t="shared" ref="G5:G6" si="0">B5+C5+F5</f>
        <v>2433.8261857657935</v>
      </c>
      <c r="H5" s="170">
        <f t="shared" ref="H5:H6" si="1">B5*N$15+C5*N$14</f>
        <v>1308.2720964835594</v>
      </c>
      <c r="I5" s="270">
        <v>0.3</v>
      </c>
      <c r="J5">
        <f t="shared" ref="J5:J7" si="2">B5/C5</f>
        <v>0.45563548162105327</v>
      </c>
      <c r="X5" s="118"/>
      <c r="Y5" s="118"/>
      <c r="Z5" s="118"/>
      <c r="AA5" s="118"/>
    </row>
    <row r="6" spans="1:27">
      <c r="A6" s="4" t="s">
        <v>5</v>
      </c>
      <c r="B6" s="170">
        <f>B7-B4-B5</f>
        <v>351.70264727620992</v>
      </c>
      <c r="C6" s="269">
        <v>225</v>
      </c>
      <c r="D6" s="170">
        <f>I6*H6*N$4/N$14</f>
        <v>464.23764516240777</v>
      </c>
      <c r="E6" s="170">
        <f>(1-I6)*N$4*H6/N$16</f>
        <v>111.55554772035087</v>
      </c>
      <c r="F6" s="170">
        <f>D6+E6</f>
        <v>575.7931928827586</v>
      </c>
      <c r="G6" s="170">
        <f t="shared" si="0"/>
        <v>1152.4958401589686</v>
      </c>
      <c r="H6" s="170">
        <f t="shared" si="1"/>
        <v>606.1123405739246</v>
      </c>
      <c r="I6" s="271">
        <f>(Q9-I4*(B4*N13+C4)-I5*(B5*N13+C5))/(B6*N13+C6)</f>
        <v>0.74550289315284579</v>
      </c>
      <c r="J6">
        <f t="shared" si="2"/>
        <v>1.5631228767831551</v>
      </c>
      <c r="X6" s="118"/>
      <c r="Y6" s="118"/>
      <c r="Z6" s="118"/>
      <c r="AA6" s="118"/>
    </row>
    <row r="7" spans="1:27" ht="16.5" thickBot="1">
      <c r="A7" s="7" t="s">
        <v>473</v>
      </c>
      <c r="B7" s="272">
        <v>1200</v>
      </c>
      <c r="C7" s="173">
        <f>SUM(C4:C6)</f>
        <v>1465</v>
      </c>
      <c r="D7" s="173">
        <f>N3*F7</f>
        <v>1407.29735272379</v>
      </c>
      <c r="E7" s="173">
        <f>(1-N3)*F7</f>
        <v>936.70264727620997</v>
      </c>
      <c r="F7" s="273">
        <f>C7*N2</f>
        <v>2344</v>
      </c>
      <c r="G7" s="274">
        <f>SUM(G4:G6)</f>
        <v>5009</v>
      </c>
      <c r="H7" s="173">
        <f>B7*N$15+C7*N$14</f>
        <v>2665</v>
      </c>
      <c r="I7" s="275">
        <f>N3</f>
        <v>0.60038282966031997</v>
      </c>
      <c r="J7">
        <f t="shared" si="2"/>
        <v>0.8191126279863481</v>
      </c>
      <c r="M7" t="s">
        <v>384</v>
      </c>
      <c r="N7">
        <f>C4*(1+N4)/(B7-B4*(1+N4))</f>
        <v>1.3733070132148928</v>
      </c>
      <c r="X7" s="118"/>
      <c r="Y7" s="118"/>
      <c r="Z7" s="118"/>
    </row>
    <row r="8" spans="1:27" ht="16.5" thickTop="1" thickBot="1">
      <c r="A8" s="331" t="s">
        <v>474</v>
      </c>
      <c r="B8" s="332"/>
      <c r="C8" s="332"/>
      <c r="D8" s="332"/>
      <c r="E8" s="332"/>
      <c r="F8" s="332"/>
      <c r="G8" s="333"/>
    </row>
    <row r="9" spans="1:27" ht="15.75" thickTop="1">
      <c r="A9" s="1"/>
      <c r="B9" s="2" t="s">
        <v>0</v>
      </c>
      <c r="C9" s="2" t="s">
        <v>1</v>
      </c>
      <c r="D9" s="2" t="s">
        <v>2</v>
      </c>
      <c r="E9" s="3" t="s">
        <v>6</v>
      </c>
      <c r="F9" s="338" t="s">
        <v>475</v>
      </c>
      <c r="G9" s="339"/>
      <c r="Q9">
        <f>N3*(B7+C7)</f>
        <v>1600.0202410447528</v>
      </c>
    </row>
    <row r="10" spans="1:27">
      <c r="A10" s="4" t="s">
        <v>3</v>
      </c>
      <c r="B10" s="170">
        <f t="shared" ref="B10:C12" si="3">B4</f>
        <v>420</v>
      </c>
      <c r="C10" s="170">
        <f t="shared" si="3"/>
        <v>300</v>
      </c>
      <c r="D10" s="170">
        <f>N$2*C10</f>
        <v>480</v>
      </c>
      <c r="E10" s="276">
        <f>SUM(B10:D10)</f>
        <v>1200</v>
      </c>
      <c r="F10" s="33" t="s">
        <v>23</v>
      </c>
      <c r="G10" s="101">
        <f>N15</f>
        <v>1.1756827250716275</v>
      </c>
      <c r="P10" t="s">
        <v>476</v>
      </c>
      <c r="Q10">
        <f>C4*(B7-B4-C4)^2*C7^2+(B7+C7)*(B7-B4-C4)*C7*(2*C4^2+B4*C4)+C4*(B7+C7)^2*(C4^2+(B4-B7)*C4)</f>
        <v>414983520000000</v>
      </c>
      <c r="R10">
        <f>(B7-B4-C4)*C7*C4*((B7-B4-C4)*C7+(B7+C7)*(2*C4+B4))+C4^2*(B7+C7)^2*(C4+B4-B7)</f>
        <v>414983520000000</v>
      </c>
      <c r="X10" s="118"/>
      <c r="Y10" s="118"/>
      <c r="AA10" s="118"/>
    </row>
    <row r="11" spans="1:27">
      <c r="A11" s="4" t="s">
        <v>4</v>
      </c>
      <c r="B11" s="170">
        <f t="shared" si="3"/>
        <v>428.29735272379008</v>
      </c>
      <c r="C11" s="170">
        <f t="shared" si="3"/>
        <v>940</v>
      </c>
      <c r="D11" s="170">
        <f>N$2*C11</f>
        <v>1504</v>
      </c>
      <c r="E11" s="277">
        <f t="shared" ref="E11:E12" si="4">SUM(B11:D11)</f>
        <v>2872.29735272379</v>
      </c>
      <c r="F11" s="4" t="s">
        <v>50</v>
      </c>
      <c r="G11" s="101">
        <f>N14</f>
        <v>0.85609606137477623</v>
      </c>
      <c r="P11" t="s">
        <v>477</v>
      </c>
      <c r="Q11">
        <f>B4*C5*(B7-B4-C4)^2*C7^2-(B7+C7)*(B7-B4-C4)*((-2)*C4*C5*B4+B4*(B7-B4)*C5+B7*C4*C5)*C7-(B7+C7)^2*C4*(C4*(B7*C5-B4*C5)-(B4-B7)^2*C5)</f>
        <v>1.7773634304E+17</v>
      </c>
      <c r="R11">
        <f>B4*C5*C7^2*(B7-B4-C4)^2-(B7+C7)*(B7-B4-C4)*C7*C5*(-2*C4*B4+B4*(B7-B4)+B7*C4)-(B7+C7)^2*(B7-B4)*C4*C5*(C4+B4-B7)</f>
        <v>1.7773634304E+17</v>
      </c>
      <c r="X11" s="118"/>
      <c r="Y11" s="118"/>
      <c r="AA11" s="118"/>
    </row>
    <row r="12" spans="1:27">
      <c r="A12" s="4" t="s">
        <v>5</v>
      </c>
      <c r="B12" s="170">
        <f t="shared" si="3"/>
        <v>351.70264727620992</v>
      </c>
      <c r="C12" s="170">
        <f t="shared" si="3"/>
        <v>225</v>
      </c>
      <c r="D12" s="170">
        <f>N$2*C12</f>
        <v>360</v>
      </c>
      <c r="E12" s="278">
        <f t="shared" si="4"/>
        <v>936.70264727620997</v>
      </c>
      <c r="F12" s="4" t="s">
        <v>478</v>
      </c>
      <c r="G12" s="101">
        <f>N16</f>
        <v>1.2162005546399266</v>
      </c>
      <c r="P12" t="s">
        <v>479</v>
      </c>
      <c r="Q12">
        <f>Q11/Q10</f>
        <v>428.29735272379008</v>
      </c>
      <c r="X12" s="118"/>
      <c r="Y12" s="118"/>
      <c r="AA12" s="118"/>
    </row>
    <row r="13" spans="1:27" ht="16.5" thickBot="1">
      <c r="A13" s="7" t="s">
        <v>473</v>
      </c>
      <c r="B13" s="272">
        <f>SUM(B10:B12)</f>
        <v>1200</v>
      </c>
      <c r="C13" s="173">
        <f>SUM(C10:C12)</f>
        <v>1465</v>
      </c>
      <c r="D13" s="273">
        <f t="shared" ref="D13:E13" si="5">SUM(D10:D12)</f>
        <v>2344</v>
      </c>
      <c r="E13" s="279">
        <f t="shared" si="5"/>
        <v>5009</v>
      </c>
      <c r="F13" s="4" t="s">
        <v>28</v>
      </c>
      <c r="G13" s="101">
        <f>N13</f>
        <v>1.3733070132148928</v>
      </c>
      <c r="M13" t="s">
        <v>384</v>
      </c>
      <c r="N13">
        <f>Q14</f>
        <v>1.3733070132148928</v>
      </c>
      <c r="X13" s="118"/>
      <c r="Y13" s="118"/>
      <c r="Z13" s="118"/>
    </row>
    <row r="14" spans="1:27" ht="15.75" thickTop="1">
      <c r="A14" s="236" t="s">
        <v>18</v>
      </c>
      <c r="B14" s="280">
        <f>N2</f>
        <v>1.6</v>
      </c>
      <c r="C14" s="281" t="s">
        <v>480</v>
      </c>
      <c r="D14" s="282">
        <f>C7+D7</f>
        <v>2872.29735272379</v>
      </c>
      <c r="E14" s="237"/>
      <c r="F14" s="4" t="s">
        <v>32</v>
      </c>
      <c r="G14" s="101">
        <f>N4</f>
        <v>0.8795497185741088</v>
      </c>
      <c r="M14" t="s">
        <v>67</v>
      </c>
      <c r="N14">
        <f>(B7+C7)/(B7*N13+C7)</f>
        <v>0.85609606137477623</v>
      </c>
      <c r="P14" t="s">
        <v>384</v>
      </c>
      <c r="Q14">
        <f>C4*(1+N4)/(B7-B4*(1+N4))</f>
        <v>1.3733070132148928</v>
      </c>
    </row>
    <row r="15" spans="1:27" ht="15.75" thickBot="1">
      <c r="A15" s="248" t="s">
        <v>32</v>
      </c>
      <c r="B15" s="283">
        <f>N4</f>
        <v>0.8795497185741088</v>
      </c>
      <c r="C15" s="284" t="s">
        <v>481</v>
      </c>
      <c r="D15" s="285">
        <f>F7-D7</f>
        <v>936.70264727620997</v>
      </c>
      <c r="E15" s="220"/>
      <c r="F15" s="286" t="s">
        <v>18</v>
      </c>
      <c r="G15" s="287">
        <f>N2</f>
        <v>1.6</v>
      </c>
      <c r="M15" t="s">
        <v>15</v>
      </c>
      <c r="N15">
        <f>N13*N14</f>
        <v>1.1756827250716275</v>
      </c>
      <c r="P15" t="s">
        <v>384</v>
      </c>
      <c r="Q15">
        <f>(C7+D7-C5*(1+N4))/(B5*(1+N4))</f>
        <v>1.373307013214893</v>
      </c>
    </row>
    <row r="16" spans="1:27" ht="16.5" thickTop="1" thickBot="1">
      <c r="A16" s="331" t="s">
        <v>482</v>
      </c>
      <c r="B16" s="332"/>
      <c r="C16" s="332"/>
      <c r="D16" s="332"/>
      <c r="E16" s="332"/>
      <c r="F16" s="332"/>
      <c r="G16" s="332"/>
      <c r="H16" s="333"/>
      <c r="M16" t="s">
        <v>483</v>
      </c>
      <c r="N16">
        <f>(1-N3*N14)/(1-N3)</f>
        <v>1.2162005546399266</v>
      </c>
    </row>
    <row r="17" spans="1:12" ht="15.75" thickTop="1">
      <c r="A17" s="1"/>
      <c r="B17" s="288" t="s">
        <v>8</v>
      </c>
      <c r="C17" s="288" t="s">
        <v>9</v>
      </c>
      <c r="D17" s="288" t="s">
        <v>484</v>
      </c>
      <c r="E17" s="288" t="s">
        <v>485</v>
      </c>
      <c r="F17" s="288" t="s">
        <v>486</v>
      </c>
      <c r="G17" s="288" t="s">
        <v>487</v>
      </c>
      <c r="H17" s="289" t="s">
        <v>11</v>
      </c>
    </row>
    <row r="18" spans="1:12">
      <c r="A18" s="4" t="s">
        <v>3</v>
      </c>
      <c r="B18" s="170">
        <f>B4*N$15</f>
        <v>493.78674453008358</v>
      </c>
      <c r="C18" s="170">
        <f>C4*N$14</f>
        <v>256.8288184124329</v>
      </c>
      <c r="D18" s="170">
        <f>D4*N$14</f>
        <v>462.14259500040561</v>
      </c>
      <c r="E18" s="170">
        <f>E4*N$16</f>
        <v>198.06111214303101</v>
      </c>
      <c r="F18" s="170">
        <f>D18+E18</f>
        <v>660.20370714343665</v>
      </c>
      <c r="G18" s="170">
        <f>N$4*(B18+C18)</f>
        <v>660.20370714343665</v>
      </c>
      <c r="H18" s="290">
        <f>B18+C18+F18</f>
        <v>1410.8192700859531</v>
      </c>
      <c r="K18" t="s">
        <v>15</v>
      </c>
      <c r="L18">
        <f>H18/E10</f>
        <v>1.1756827250716275</v>
      </c>
    </row>
    <row r="19" spans="1:12">
      <c r="A19" s="4" t="s">
        <v>4</v>
      </c>
      <c r="B19" s="170">
        <f>B5*N$15</f>
        <v>503.54179879126957</v>
      </c>
      <c r="C19" s="170">
        <f>C5*N$14</f>
        <v>804.7302976922897</v>
      </c>
      <c r="D19" s="170">
        <f>D5*N$14</f>
        <v>345.20710628414218</v>
      </c>
      <c r="E19" s="170">
        <f>E5*N$16</f>
        <v>805.48324799633167</v>
      </c>
      <c r="F19" s="170">
        <f t="shared" ref="F19:F20" si="6">D19+E19</f>
        <v>1150.6903542804739</v>
      </c>
      <c r="G19" s="170">
        <f>N$4*(B19+C19)</f>
        <v>1150.6903542804739</v>
      </c>
      <c r="H19" s="291">
        <f t="shared" ref="H19:H20" si="7">B19+C19+F19</f>
        <v>2458.9624507640333</v>
      </c>
      <c r="K19" t="s">
        <v>67</v>
      </c>
      <c r="L19">
        <f>H19/E11</f>
        <v>0.85609606137477634</v>
      </c>
    </row>
    <row r="20" spans="1:12">
      <c r="A20" s="4" t="s">
        <v>5</v>
      </c>
      <c r="B20" s="170">
        <f>B6*N$15</f>
        <v>413.49072676459991</v>
      </c>
      <c r="C20" s="170">
        <f>C6*N$14</f>
        <v>192.62161380932466</v>
      </c>
      <c r="D20" s="170">
        <f>D6*N$14</f>
        <v>397.43201956543822</v>
      </c>
      <c r="E20" s="170">
        <f>E6*N$16</f>
        <v>135.67391901065153</v>
      </c>
      <c r="F20" s="170">
        <f t="shared" si="6"/>
        <v>533.10593857608978</v>
      </c>
      <c r="G20" s="170">
        <f>N$4*(B20+C20)</f>
        <v>533.10593857608978</v>
      </c>
      <c r="H20" s="292">
        <f t="shared" si="7"/>
        <v>1139.2182791500145</v>
      </c>
      <c r="K20" t="s">
        <v>483</v>
      </c>
      <c r="L20">
        <f>H20/E12</f>
        <v>1.216200554639927</v>
      </c>
    </row>
    <row r="21" spans="1:12" ht="16.5" thickBot="1">
      <c r="A21" s="7" t="s">
        <v>473</v>
      </c>
      <c r="B21" s="263">
        <f>SUM(B18:B20)</f>
        <v>1410.8192700859531</v>
      </c>
      <c r="C21" s="173">
        <f t="shared" ref="C21:H21" si="8">SUM(C18:C20)</f>
        <v>1254.1807299140471</v>
      </c>
      <c r="D21" s="173">
        <f t="shared" si="8"/>
        <v>1204.781720849986</v>
      </c>
      <c r="E21" s="173">
        <f t="shared" si="8"/>
        <v>1139.2182791500143</v>
      </c>
      <c r="F21" s="273">
        <f t="shared" si="8"/>
        <v>2344</v>
      </c>
      <c r="G21" s="273">
        <f t="shared" si="8"/>
        <v>2344</v>
      </c>
      <c r="H21" s="279">
        <f t="shared" si="8"/>
        <v>5009.0000000000009</v>
      </c>
    </row>
    <row r="22" spans="1:12" ht="15.75" thickTop="1">
      <c r="A22" s="1"/>
      <c r="B22" s="2"/>
      <c r="C22" s="293" t="s">
        <v>488</v>
      </c>
      <c r="D22" s="294">
        <f>C21+D21</f>
        <v>2458.9624507640328</v>
      </c>
      <c r="E22" s="2"/>
      <c r="F22" s="2"/>
      <c r="G22" s="2"/>
      <c r="H22" s="3"/>
      <c r="J22">
        <f>D22/D14</f>
        <v>0.85609606137477612</v>
      </c>
    </row>
    <row r="23" spans="1:12" ht="15.75" thickBot="1">
      <c r="A23" s="7"/>
      <c r="B23" s="8"/>
      <c r="C23" s="295" t="s">
        <v>489</v>
      </c>
      <c r="D23" s="296">
        <f>E21</f>
        <v>1139.2182791500143</v>
      </c>
      <c r="E23" s="8"/>
      <c r="F23" s="8"/>
      <c r="G23" s="8"/>
      <c r="H23" s="9"/>
      <c r="J23">
        <f>D23/D15</f>
        <v>1.2162005546399268</v>
      </c>
    </row>
    <row r="24" spans="1:12" ht="16.5" thickTop="1" thickBot="1"/>
    <row r="25" spans="1:12" ht="16.5" thickTop="1" thickBot="1">
      <c r="A25" s="331" t="s">
        <v>493</v>
      </c>
      <c r="B25" s="332"/>
      <c r="C25" s="332"/>
      <c r="D25" s="332"/>
      <c r="E25" s="333"/>
      <c r="G25" s="30" t="s">
        <v>490</v>
      </c>
    </row>
    <row r="26" spans="1:12" ht="15.75" thickTop="1">
      <c r="A26" s="1"/>
      <c r="B26" s="2" t="s">
        <v>0</v>
      </c>
      <c r="C26" s="2" t="s">
        <v>1</v>
      </c>
      <c r="D26" s="2" t="s">
        <v>2</v>
      </c>
      <c r="E26" s="3" t="s">
        <v>6</v>
      </c>
      <c r="F26" s="103" t="s">
        <v>467</v>
      </c>
      <c r="G26" s="30" t="s">
        <v>491</v>
      </c>
    </row>
    <row r="27" spans="1:12">
      <c r="A27" s="4" t="s">
        <v>3</v>
      </c>
      <c r="B27" s="170">
        <f>B10</f>
        <v>420</v>
      </c>
      <c r="C27" s="170">
        <f>C10</f>
        <v>300</v>
      </c>
      <c r="D27" s="170">
        <f>D10</f>
        <v>480</v>
      </c>
      <c r="E27" s="276">
        <f>SUM(B27:D27)</f>
        <v>1200</v>
      </c>
    </row>
    <row r="28" spans="1:12">
      <c r="A28" s="4" t="s">
        <v>494</v>
      </c>
      <c r="B28" s="170">
        <f>(C7/(C7+D7))*B11</f>
        <v>218.45078858055498</v>
      </c>
      <c r="C28" s="170">
        <f>B28/J5</f>
        <v>479.44200439209419</v>
      </c>
      <c r="D28" s="170">
        <f>N2*C28</f>
        <v>767.1072070273508</v>
      </c>
      <c r="E28" s="277">
        <f t="shared" ref="E28:E30" si="9">SUM(B28:D28)</f>
        <v>1465</v>
      </c>
      <c r="F28">
        <f>B28/C28</f>
        <v>0.45563548162105327</v>
      </c>
    </row>
    <row r="29" spans="1:12">
      <c r="A29" s="4" t="s">
        <v>495</v>
      </c>
      <c r="B29" s="170">
        <f>(D7/(C7+D7))*B5</f>
        <v>209.84656414323507</v>
      </c>
      <c r="C29" s="170">
        <f>B29/J5</f>
        <v>460.55799560790575</v>
      </c>
      <c r="D29" s="170">
        <f>C29*N2</f>
        <v>736.8927929726492</v>
      </c>
      <c r="E29" s="297">
        <f t="shared" si="9"/>
        <v>1407.29735272379</v>
      </c>
      <c r="F29">
        <f>B29/C29</f>
        <v>0.45563548162105327</v>
      </c>
    </row>
    <row r="30" spans="1:12">
      <c r="A30" s="4" t="s">
        <v>496</v>
      </c>
      <c r="B30" s="170">
        <f>B12</f>
        <v>351.70264727620992</v>
      </c>
      <c r="C30" s="170">
        <f t="shared" ref="C30:D30" si="10">C12</f>
        <v>225</v>
      </c>
      <c r="D30" s="170">
        <f t="shared" si="10"/>
        <v>360</v>
      </c>
      <c r="E30" s="297">
        <f t="shared" si="9"/>
        <v>936.70264727620997</v>
      </c>
    </row>
    <row r="31" spans="1:12" ht="15.75" thickBot="1">
      <c r="A31" s="7"/>
      <c r="B31" s="272">
        <f>SUM(B27:B30)</f>
        <v>1200</v>
      </c>
      <c r="C31" s="298">
        <f t="shared" ref="C31:E31" si="11">SUM(C27:C30)</f>
        <v>1465</v>
      </c>
      <c r="D31" s="265">
        <f t="shared" si="11"/>
        <v>2344</v>
      </c>
      <c r="E31" s="299">
        <f t="shared" si="11"/>
        <v>5009</v>
      </c>
    </row>
    <row r="32" spans="1:12" ht="16.5" thickTop="1" thickBot="1">
      <c r="A32" s="331" t="s">
        <v>497</v>
      </c>
      <c r="B32" s="332"/>
      <c r="C32" s="332"/>
      <c r="D32" s="332"/>
      <c r="E32" s="333"/>
      <c r="G32" s="30" t="s">
        <v>492</v>
      </c>
    </row>
    <row r="33" spans="1:5" ht="15.75" thickTop="1">
      <c r="A33" s="1"/>
      <c r="B33" s="2" t="s">
        <v>0</v>
      </c>
      <c r="C33" s="2" t="s">
        <v>1</v>
      </c>
      <c r="D33" s="2" t="s">
        <v>2</v>
      </c>
      <c r="E33" s="3" t="s">
        <v>6</v>
      </c>
    </row>
    <row r="34" spans="1:5">
      <c r="A34" s="4" t="s">
        <v>498</v>
      </c>
      <c r="B34" s="170">
        <f t="shared" ref="B34:D35" si="12">B27</f>
        <v>420</v>
      </c>
      <c r="C34" s="170">
        <f t="shared" si="12"/>
        <v>300</v>
      </c>
      <c r="D34" s="170">
        <f t="shared" si="12"/>
        <v>480</v>
      </c>
      <c r="E34" s="276">
        <f>SUM(B34:D34)</f>
        <v>1200</v>
      </c>
    </row>
    <row r="35" spans="1:5">
      <c r="A35" s="4" t="s">
        <v>499</v>
      </c>
      <c r="B35" s="170">
        <f t="shared" si="12"/>
        <v>218.45078858055498</v>
      </c>
      <c r="C35" s="170">
        <f t="shared" si="12"/>
        <v>479.44200439209419</v>
      </c>
      <c r="D35" s="170">
        <f t="shared" si="12"/>
        <v>767.1072070273508</v>
      </c>
      <c r="E35" s="277">
        <f t="shared" ref="E35:E36" si="13">SUM(B35:D35)</f>
        <v>1465</v>
      </c>
    </row>
    <row r="36" spans="1:5">
      <c r="A36" s="4" t="s">
        <v>500</v>
      </c>
      <c r="B36" s="170">
        <f>B29+B30</f>
        <v>561.54921141944499</v>
      </c>
      <c r="C36" s="170">
        <f>C29+C30</f>
        <v>685.5579956079057</v>
      </c>
      <c r="D36" s="170">
        <f>D29+D30</f>
        <v>1096.8927929726492</v>
      </c>
      <c r="E36" s="297">
        <f t="shared" si="13"/>
        <v>2344</v>
      </c>
    </row>
    <row r="37" spans="1:5" ht="15.75" thickBot="1">
      <c r="A37" s="7"/>
      <c r="B37" s="272">
        <f>SUM(B34:B36)</f>
        <v>1200</v>
      </c>
      <c r="C37" s="298">
        <f t="shared" ref="C37:E37" si="14">SUM(C34:C36)</f>
        <v>1465</v>
      </c>
      <c r="D37" s="265">
        <f t="shared" si="14"/>
        <v>2344</v>
      </c>
      <c r="E37" s="299">
        <f t="shared" si="14"/>
        <v>5009</v>
      </c>
    </row>
    <row r="38" spans="1:5" ht="16.5" thickTop="1" thickBot="1">
      <c r="A38" s="331" t="s">
        <v>501</v>
      </c>
      <c r="B38" s="332"/>
      <c r="C38" s="332"/>
      <c r="D38" s="332"/>
      <c r="E38" s="333"/>
    </row>
    <row r="39" spans="1:5" ht="15.75" thickTop="1">
      <c r="A39" s="1"/>
      <c r="B39" s="2" t="s">
        <v>8</v>
      </c>
      <c r="C39" s="2" t="s">
        <v>9</v>
      </c>
      <c r="D39" s="2" t="s">
        <v>10</v>
      </c>
      <c r="E39" s="3" t="s">
        <v>11</v>
      </c>
    </row>
    <row r="40" spans="1:5">
      <c r="A40" s="4" t="s">
        <v>502</v>
      </c>
      <c r="B40" s="170">
        <f>B34*N$15</f>
        <v>493.78674453008358</v>
      </c>
      <c r="C40" s="260">
        <f>C34*N$14</f>
        <v>256.8288184124329</v>
      </c>
      <c r="D40" s="300">
        <f>N$4*(B40+C40)</f>
        <v>660.20370714343665</v>
      </c>
      <c r="E40" s="302">
        <f>SUM(B40:D40)</f>
        <v>1410.8192700859531</v>
      </c>
    </row>
    <row r="41" spans="1:5">
      <c r="A41" s="4" t="s">
        <v>503</v>
      </c>
      <c r="B41" s="260">
        <f t="shared" ref="B41:B42" si="15">B35*N$15</f>
        <v>256.82881841243284</v>
      </c>
      <c r="C41" s="170">
        <f t="shared" ref="C41:C42" si="16">C35*N$14</f>
        <v>410.4484116177</v>
      </c>
      <c r="D41" s="301">
        <f t="shared" ref="D41:D42" si="17">N$4*(B41+C41)</f>
        <v>586.90349988391415</v>
      </c>
      <c r="E41" s="304">
        <f t="shared" ref="E41:E42" si="18">SUM(B41:D41)</f>
        <v>1254.1807299140469</v>
      </c>
    </row>
    <row r="42" spans="1:5">
      <c r="A42" s="4" t="s">
        <v>504</v>
      </c>
      <c r="B42" s="300">
        <f t="shared" si="15"/>
        <v>660.20370714343653</v>
      </c>
      <c r="C42" s="301">
        <f t="shared" si="16"/>
        <v>586.90349988391415</v>
      </c>
      <c r="D42" s="170">
        <f t="shared" si="17"/>
        <v>1096.8927929726492</v>
      </c>
      <c r="E42" s="297">
        <f t="shared" si="18"/>
        <v>2344</v>
      </c>
    </row>
    <row r="43" spans="1:5" ht="15.75" thickBot="1">
      <c r="A43" s="7"/>
      <c r="B43" s="303">
        <f>SUM(B40:B42)</f>
        <v>1410.8192700859529</v>
      </c>
      <c r="C43" s="305">
        <f>SUM(C40:C42)</f>
        <v>1254.1807299140469</v>
      </c>
      <c r="D43" s="265">
        <f>SUM(D40:D42)</f>
        <v>2344</v>
      </c>
      <c r="E43" s="299">
        <f>SUM(E40:E42)</f>
        <v>5009</v>
      </c>
    </row>
    <row r="44" spans="1:5" ht="15.75" thickTop="1"/>
    <row r="45" spans="1:5" ht="15.75" thickBot="1"/>
    <row r="46" spans="1:5" ht="16.5" thickTop="1" thickBot="1">
      <c r="A46" s="331" t="s">
        <v>509</v>
      </c>
      <c r="B46" s="332"/>
      <c r="C46" s="332"/>
      <c r="D46" s="332"/>
      <c r="E46" s="333"/>
    </row>
    <row r="47" spans="1:5" ht="15.75" thickTop="1">
      <c r="A47" s="1"/>
      <c r="B47" s="2" t="s">
        <v>0</v>
      </c>
      <c r="C47" s="2" t="s">
        <v>1</v>
      </c>
      <c r="D47" s="2" t="s">
        <v>2</v>
      </c>
      <c r="E47" s="3" t="s">
        <v>6</v>
      </c>
    </row>
    <row r="48" spans="1:5">
      <c r="A48" s="4" t="s">
        <v>498</v>
      </c>
      <c r="B48" s="170">
        <f>(1-B61)*B60*B51</f>
        <v>420</v>
      </c>
      <c r="C48" s="170">
        <f>B63*(1-B61)*(1-B60*(1-B61))*B62/(B63+B61)</f>
        <v>300.00000000000006</v>
      </c>
      <c r="D48" s="170">
        <f>B62*B61*(1+B63)*(1-B60*(1-B61))/(B61+(1-B60)*(1+B63))</f>
        <v>660.2037071434363</v>
      </c>
      <c r="E48" s="276">
        <f>SUM(B48:D48)</f>
        <v>1380.2037071434363</v>
      </c>
    </row>
    <row r="49" spans="1:10">
      <c r="A49" s="4" t="s">
        <v>499</v>
      </c>
      <c r="B49" s="170">
        <f>(1-B61)*(1-B60)*B51</f>
        <v>218.4507885805551</v>
      </c>
      <c r="C49" s="170">
        <f>(B63*(1-B61)*(B63-(1-B60)*(1-B61))*B62)/(B63+B61)</f>
        <v>479.4420043920943</v>
      </c>
      <c r="D49" s="170">
        <f>B61*(1-B60)*(1+B63)*(B63+B61)*B62/(B61+(1-B60)*(1+B63))</f>
        <v>586.90349988391438</v>
      </c>
      <c r="E49" s="277">
        <f t="shared" ref="E49:E50" si="19">SUM(B49:D49)</f>
        <v>1284.7962928565639</v>
      </c>
    </row>
    <row r="50" spans="1:10">
      <c r="A50" s="4" t="s">
        <v>500</v>
      </c>
      <c r="B50" s="170">
        <f>B51*B61</f>
        <v>561.54921141944499</v>
      </c>
      <c r="C50" s="170">
        <f>B50*B63</f>
        <v>685.55799560790581</v>
      </c>
      <c r="D50" s="170">
        <f>B61^2*(1+B63)*B62/(1-B61)</f>
        <v>1096.8927929726492</v>
      </c>
      <c r="E50" s="297">
        <f t="shared" si="19"/>
        <v>2344</v>
      </c>
    </row>
    <row r="51" spans="1:10" ht="15.75" thickBot="1">
      <c r="A51" s="7"/>
      <c r="B51" s="272">
        <f>B62</f>
        <v>1200</v>
      </c>
      <c r="C51" s="298">
        <f>B51*B63</f>
        <v>1465.0000000000002</v>
      </c>
      <c r="D51" s="265">
        <f t="shared" ref="D51:E51" si="20">SUM(D48:D50)</f>
        <v>2344</v>
      </c>
      <c r="E51" s="299">
        <f t="shared" si="20"/>
        <v>5009</v>
      </c>
    </row>
    <row r="52" spans="1:10" ht="16.5" thickTop="1" thickBot="1">
      <c r="A52" s="331" t="s">
        <v>510</v>
      </c>
      <c r="B52" s="332"/>
      <c r="C52" s="332"/>
      <c r="D52" s="332"/>
      <c r="E52" s="333"/>
    </row>
    <row r="53" spans="1:10" ht="15.75" thickTop="1">
      <c r="A53" s="1"/>
      <c r="B53" s="2" t="s">
        <v>0</v>
      </c>
      <c r="C53" s="2" t="s">
        <v>1</v>
      </c>
      <c r="D53" s="2" t="s">
        <v>2</v>
      </c>
      <c r="E53" s="3" t="s">
        <v>6</v>
      </c>
    </row>
    <row r="54" spans="1:10">
      <c r="A54" s="4" t="s">
        <v>498</v>
      </c>
      <c r="B54" s="170">
        <f>B48</f>
        <v>420</v>
      </c>
      <c r="C54" s="170">
        <f>C48</f>
        <v>300.00000000000006</v>
      </c>
      <c r="D54" s="170">
        <f>C54*B$65</f>
        <v>479.99999999999994</v>
      </c>
      <c r="E54" s="276">
        <f>SUM(B54:D54)</f>
        <v>1200</v>
      </c>
    </row>
    <row r="55" spans="1:10">
      <c r="A55" s="4" t="s">
        <v>499</v>
      </c>
      <c r="B55" s="170">
        <f t="shared" ref="B55:C57" si="21">B49</f>
        <v>218.4507885805551</v>
      </c>
      <c r="C55" s="170">
        <f t="shared" si="21"/>
        <v>479.4420043920943</v>
      </c>
      <c r="D55" s="170">
        <f>C55*B$65</f>
        <v>767.10720702735057</v>
      </c>
      <c r="E55" s="277">
        <f t="shared" ref="E55:E56" si="22">SUM(B55:D55)</f>
        <v>1465</v>
      </c>
    </row>
    <row r="56" spans="1:10">
      <c r="A56" s="4" t="s">
        <v>500</v>
      </c>
      <c r="B56" s="170">
        <f t="shared" si="21"/>
        <v>561.54921141944499</v>
      </c>
      <c r="C56" s="170">
        <f t="shared" si="21"/>
        <v>685.55799560790581</v>
      </c>
      <c r="D56" s="170">
        <f>C56*B$65</f>
        <v>1096.892792972649</v>
      </c>
      <c r="E56" s="297">
        <f t="shared" si="22"/>
        <v>2344</v>
      </c>
    </row>
    <row r="57" spans="1:10" ht="15.75" thickBot="1">
      <c r="A57" s="7"/>
      <c r="B57" s="272">
        <f t="shared" si="21"/>
        <v>1200</v>
      </c>
      <c r="C57" s="298">
        <f t="shared" si="21"/>
        <v>1465.0000000000002</v>
      </c>
      <c r="D57" s="265">
        <f>SUM(D54:D56)</f>
        <v>2343.9999999999995</v>
      </c>
      <c r="E57" s="299">
        <f t="shared" ref="E57" si="23">SUM(E54:E56)</f>
        <v>5009</v>
      </c>
    </row>
    <row r="58" spans="1:10" ht="27.75" customHeight="1" thickTop="1">
      <c r="A58" s="334" t="s">
        <v>507</v>
      </c>
      <c r="B58" s="335"/>
      <c r="C58" s="335"/>
      <c r="D58" s="335"/>
      <c r="E58" s="336"/>
    </row>
    <row r="59" spans="1:10">
      <c r="A59" s="4"/>
      <c r="B59" s="5"/>
      <c r="C59" s="5"/>
      <c r="D59" s="5"/>
      <c r="E59" s="6"/>
      <c r="F59" s="337" t="s">
        <v>508</v>
      </c>
      <c r="G59" s="337"/>
      <c r="H59" s="337"/>
      <c r="I59" s="337"/>
      <c r="J59" s="337"/>
    </row>
    <row r="60" spans="1:10">
      <c r="A60" s="4" t="s">
        <v>506</v>
      </c>
      <c r="B60" s="5">
        <f>B34/((1-B61)*B37)</f>
        <v>0.65784240150093798</v>
      </c>
      <c r="C60" s="5" t="s">
        <v>384</v>
      </c>
      <c r="D60" s="5">
        <f>B63*(1-B60*(1-B61))/((B63+B61)*(1-B60))</f>
        <v>1.3733070132148926</v>
      </c>
      <c r="E60" s="6"/>
    </row>
    <row r="61" spans="1:10">
      <c r="A61" s="4" t="s">
        <v>505</v>
      </c>
      <c r="B61" s="5">
        <f>B36/B37</f>
        <v>0.46795767618287082</v>
      </c>
      <c r="C61" s="5" t="s">
        <v>67</v>
      </c>
      <c r="D61" s="5">
        <f>(1+B63)*(1-B60)*(B63+B61)/(B63*(1-B60+B61+B63*(1-B60)))</f>
        <v>0.85609606137477601</v>
      </c>
      <c r="E61" s="6"/>
    </row>
    <row r="62" spans="1:10">
      <c r="A62" s="4" t="s">
        <v>0</v>
      </c>
      <c r="B62" s="170">
        <f>B37</f>
        <v>1200</v>
      </c>
      <c r="C62" s="5" t="s">
        <v>15</v>
      </c>
      <c r="D62" s="5">
        <f>D60*D61</f>
        <v>1.1756827250716271</v>
      </c>
      <c r="E62" s="6"/>
    </row>
    <row r="63" spans="1:10">
      <c r="A63" s="4" t="s">
        <v>172</v>
      </c>
      <c r="B63" s="5">
        <f>C37/B37</f>
        <v>1.2208333333333334</v>
      </c>
      <c r="C63" s="5" t="s">
        <v>466</v>
      </c>
      <c r="D63" s="5">
        <f>D57/(B57+C57)</f>
        <v>0.87954971857410869</v>
      </c>
      <c r="E63" s="6"/>
    </row>
    <row r="64" spans="1:10">
      <c r="A64" s="4" t="s">
        <v>483</v>
      </c>
      <c r="B64" s="5">
        <v>1</v>
      </c>
      <c r="C64" s="5"/>
      <c r="D64" s="5"/>
      <c r="E64" s="6"/>
    </row>
    <row r="65" spans="1:5" ht="15.75" thickBot="1">
      <c r="A65" s="7" t="s">
        <v>70</v>
      </c>
      <c r="B65" s="8">
        <f>B61*(1+B63)/(B63*(1-B61))</f>
        <v>1.5999999999999994</v>
      </c>
      <c r="C65" s="8"/>
      <c r="D65" s="8"/>
      <c r="E65" s="9"/>
    </row>
    <row r="66" spans="1:5" ht="15.75" thickTop="1"/>
  </sheetData>
  <mergeCells count="11">
    <mergeCell ref="A32:E32"/>
    <mergeCell ref="A2:I2"/>
    <mergeCell ref="A8:G8"/>
    <mergeCell ref="F9:G9"/>
    <mergeCell ref="A16:H16"/>
    <mergeCell ref="A25:E25"/>
    <mergeCell ref="A38:E38"/>
    <mergeCell ref="A46:E46"/>
    <mergeCell ref="A52:E52"/>
    <mergeCell ref="A58:E58"/>
    <mergeCell ref="F59:J59"/>
  </mergeCells>
  <pageMargins left="0.7" right="0.7" top="0.75" bottom="0.75" header="0.3" footer="0.3"/>
  <pageSetup paperSize="9" orientation="portrait" verticalDpi="0" r:id="rId1"/>
  <legacyDrawing r:id="rId2"/>
  <oleObjects>
    <oleObject progId="Equation.DSMT4" shapeId="3073" r:id="rId3"/>
    <oleObject progId="Equation.DSMT4" shapeId="3074" r:id="rId4"/>
    <oleObject progId="Equation.DSMT4" shapeId="3075" r:id="rId5"/>
    <oleObject progId="Equation.DSMT4" shapeId="3076" r:id="rId6"/>
    <oleObject progId="Equation.DSMT4" shapeId="3077" r:id="rId7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O24"/>
  <sheetViews>
    <sheetView workbookViewId="0"/>
  </sheetViews>
  <sheetFormatPr defaultRowHeight="15"/>
  <cols>
    <col min="5" max="5" width="23.28515625" customWidth="1"/>
    <col min="14" max="14" width="23.7109375" customWidth="1"/>
  </cols>
  <sheetData>
    <row r="1" spans="1:15">
      <c r="A1" s="120" t="s">
        <v>522</v>
      </c>
    </row>
    <row r="2" spans="1:15">
      <c r="A2" s="30" t="s">
        <v>382</v>
      </c>
      <c r="E2" s="30" t="s">
        <v>512</v>
      </c>
      <c r="I2" s="123"/>
      <c r="J2" s="124"/>
      <c r="K2" s="123"/>
      <c r="L2" s="123"/>
      <c r="M2" s="123"/>
      <c r="N2" s="123"/>
      <c r="O2" s="123"/>
    </row>
    <row r="3" spans="1:15" ht="15.75" thickBot="1">
      <c r="I3" s="123"/>
      <c r="J3" s="123"/>
      <c r="K3" s="123"/>
      <c r="L3" s="123"/>
      <c r="M3" s="123"/>
      <c r="N3" s="123"/>
      <c r="O3" s="123"/>
    </row>
    <row r="4" spans="1:15" ht="16.5" thickTop="1" thickBot="1">
      <c r="A4" s="340" t="s">
        <v>254</v>
      </c>
      <c r="B4" s="341"/>
      <c r="C4" s="341"/>
      <c r="D4" s="341"/>
      <c r="E4" s="342"/>
      <c r="I4" s="123"/>
      <c r="J4" s="352"/>
      <c r="K4" s="352"/>
      <c r="L4" s="352"/>
      <c r="M4" s="352"/>
      <c r="N4" s="352"/>
      <c r="O4" s="123"/>
    </row>
    <row r="5" spans="1:15" ht="15.75" thickTop="1">
      <c r="A5" s="1"/>
      <c r="B5" s="2" t="s">
        <v>19</v>
      </c>
      <c r="C5" s="241">
        <v>0.1</v>
      </c>
      <c r="D5" s="2"/>
      <c r="E5" s="3"/>
      <c r="I5" s="123"/>
      <c r="J5" s="123"/>
      <c r="K5" s="123"/>
      <c r="L5" s="306"/>
      <c r="M5" s="123"/>
      <c r="N5" s="123"/>
      <c r="O5" s="123"/>
    </row>
    <row r="6" spans="1:15">
      <c r="A6" s="4"/>
      <c r="B6" s="5" t="s">
        <v>8</v>
      </c>
      <c r="C6" s="5" t="s">
        <v>9</v>
      </c>
      <c r="D6" s="5" t="s">
        <v>385</v>
      </c>
      <c r="E6" s="6" t="s">
        <v>11</v>
      </c>
      <c r="F6" s="103" t="s">
        <v>467</v>
      </c>
      <c r="G6" s="103" t="s">
        <v>466</v>
      </c>
      <c r="I6" s="123"/>
      <c r="J6" s="123"/>
      <c r="K6" s="123"/>
      <c r="L6" s="123"/>
      <c r="M6" s="123"/>
      <c r="N6" s="123"/>
      <c r="O6" s="123"/>
    </row>
    <row r="7" spans="1:15">
      <c r="A7" s="4" t="s">
        <v>3</v>
      </c>
      <c r="B7" s="242">
        <v>1000</v>
      </c>
      <c r="C7" s="243">
        <v>600</v>
      </c>
      <c r="D7" s="244">
        <f>C$5*(B7+C7)</f>
        <v>160</v>
      </c>
      <c r="E7" s="91">
        <f>SUM(B7:D7)</f>
        <v>1760</v>
      </c>
      <c r="F7">
        <f>B7/C7</f>
        <v>1.6666666666666667</v>
      </c>
      <c r="G7">
        <f>D7/(B7+C7)</f>
        <v>0.1</v>
      </c>
      <c r="I7" s="123"/>
      <c r="J7" s="123"/>
      <c r="K7" s="306"/>
      <c r="L7" s="307"/>
      <c r="M7" s="308"/>
      <c r="N7" s="137"/>
      <c r="O7" s="123"/>
    </row>
    <row r="8" spans="1:15">
      <c r="A8" s="4" t="s">
        <v>4</v>
      </c>
      <c r="B8" s="243">
        <v>600</v>
      </c>
      <c r="C8" s="242">
        <v>400</v>
      </c>
      <c r="D8" s="245">
        <f t="shared" ref="D8:D9" si="0">C$5*(B8+C8)</f>
        <v>100</v>
      </c>
      <c r="E8" s="90">
        <f t="shared" ref="E8:E9" si="1">SUM(B8:D8)</f>
        <v>1100</v>
      </c>
      <c r="F8">
        <f t="shared" ref="F8:F10" si="2">B8/C8</f>
        <v>1.5</v>
      </c>
      <c r="G8">
        <f t="shared" ref="G8:G10" si="3">D8/(B8+C8)</f>
        <v>0.1</v>
      </c>
      <c r="I8" s="123"/>
      <c r="J8" s="123"/>
      <c r="K8" s="307"/>
      <c r="L8" s="306"/>
      <c r="M8" s="309"/>
      <c r="N8" s="133"/>
      <c r="O8" s="123"/>
    </row>
    <row r="9" spans="1:15" ht="15.75" thickBot="1">
      <c r="A9" s="4" t="s">
        <v>5</v>
      </c>
      <c r="B9" s="244">
        <f>E7-B7-B8</f>
        <v>160</v>
      </c>
      <c r="C9" s="245">
        <f>E8-C7-C8</f>
        <v>100</v>
      </c>
      <c r="D9" s="5">
        <f t="shared" si="0"/>
        <v>26</v>
      </c>
      <c r="E9" s="246">
        <f t="shared" si="1"/>
        <v>286</v>
      </c>
      <c r="F9">
        <f t="shared" si="2"/>
        <v>1.6</v>
      </c>
      <c r="G9">
        <f t="shared" si="3"/>
        <v>0.1</v>
      </c>
      <c r="I9" s="123"/>
      <c r="J9" s="123"/>
      <c r="K9" s="308"/>
      <c r="L9" s="309"/>
      <c r="M9" s="123"/>
      <c r="N9" s="123"/>
      <c r="O9" s="123"/>
    </row>
    <row r="10" spans="1:15" ht="16.5" thickTop="1" thickBot="1">
      <c r="A10" s="7" t="s">
        <v>301</v>
      </c>
      <c r="B10" s="92">
        <f>SUM(B7:B9)</f>
        <v>1760</v>
      </c>
      <c r="C10" s="25">
        <f t="shared" ref="C10:D10" si="4">SUM(C7:C9)</f>
        <v>1100</v>
      </c>
      <c r="D10" s="246">
        <f t="shared" si="4"/>
        <v>286</v>
      </c>
      <c r="E10" s="247">
        <f>SUM(E7:E9)</f>
        <v>3146</v>
      </c>
      <c r="F10">
        <f t="shared" si="2"/>
        <v>1.6</v>
      </c>
      <c r="G10">
        <f t="shared" si="3"/>
        <v>0.1</v>
      </c>
      <c r="I10" s="123"/>
      <c r="J10" s="123"/>
      <c r="K10" s="137"/>
      <c r="L10" s="133"/>
      <c r="M10" s="138"/>
      <c r="N10" s="139"/>
      <c r="O10" s="123"/>
    </row>
    <row r="11" spans="1:15" ht="15.75" thickTop="1">
      <c r="A11" s="1" t="s">
        <v>70</v>
      </c>
      <c r="B11" s="3">
        <f>((C7+C9)*(B8+B9)-C7*B8)/(C7*B8+C8*(B8+B9))</f>
        <v>0.25903614457831325</v>
      </c>
      <c r="C11" s="343" t="s">
        <v>383</v>
      </c>
      <c r="D11" s="344"/>
      <c r="E11" s="345"/>
      <c r="I11" s="123"/>
      <c r="J11" s="123"/>
      <c r="K11" s="123"/>
      <c r="L11" s="347"/>
      <c r="M11" s="347"/>
      <c r="N11" s="347"/>
      <c r="O11" s="123"/>
    </row>
    <row r="12" spans="1:15">
      <c r="A12" s="4" t="s">
        <v>384</v>
      </c>
      <c r="B12" s="6">
        <f>(C7*(1+B11))/(B8+B9)</f>
        <v>0.99397590361445798</v>
      </c>
      <c r="C12" s="346"/>
      <c r="D12" s="347"/>
      <c r="E12" s="348"/>
      <c r="I12" s="123"/>
      <c r="J12" s="123"/>
      <c r="K12" s="123"/>
      <c r="L12" s="347"/>
      <c r="M12" s="347"/>
      <c r="N12" s="347"/>
      <c r="O12" s="123"/>
    </row>
    <row r="13" spans="1:15">
      <c r="A13" s="4" t="s">
        <v>67</v>
      </c>
      <c r="B13" s="6">
        <f>(B10+C10)/(B10*B12+C10)</f>
        <v>1.003720930232558</v>
      </c>
      <c r="C13" s="346"/>
      <c r="D13" s="347"/>
      <c r="E13" s="348"/>
      <c r="H13" s="30"/>
      <c r="I13" s="123"/>
      <c r="J13" s="123"/>
      <c r="K13" s="123"/>
      <c r="L13" s="347"/>
      <c r="M13" s="347"/>
      <c r="N13" s="347"/>
      <c r="O13" s="123"/>
    </row>
    <row r="14" spans="1:15" ht="15.75" thickBot="1">
      <c r="A14" s="248" t="s">
        <v>15</v>
      </c>
      <c r="B14" s="220">
        <f>B12*B13</f>
        <v>0.99767441860465123</v>
      </c>
      <c r="C14" s="349"/>
      <c r="D14" s="350"/>
      <c r="E14" s="351"/>
      <c r="I14" s="123"/>
      <c r="J14" s="123"/>
      <c r="K14" s="123"/>
      <c r="L14" s="347"/>
      <c r="M14" s="347"/>
      <c r="N14" s="347"/>
      <c r="O14" s="123"/>
    </row>
    <row r="15" spans="1:15" ht="16.5" thickTop="1" thickBot="1">
      <c r="A15" s="340" t="s">
        <v>511</v>
      </c>
      <c r="B15" s="341"/>
      <c r="C15" s="341"/>
      <c r="D15" s="341"/>
      <c r="E15" s="342"/>
      <c r="I15" s="123"/>
      <c r="J15" s="352"/>
      <c r="K15" s="352"/>
      <c r="L15" s="352"/>
      <c r="M15" s="352"/>
      <c r="N15" s="352"/>
      <c r="O15" s="123"/>
    </row>
    <row r="16" spans="1:15" ht="15.75" thickTop="1">
      <c r="A16" s="236"/>
      <c r="B16" s="218"/>
      <c r="C16" s="218"/>
      <c r="D16" s="218"/>
      <c r="E16" s="237"/>
      <c r="F16" s="103"/>
      <c r="I16" s="123"/>
      <c r="J16" s="123"/>
      <c r="K16" s="123"/>
      <c r="L16" s="123"/>
      <c r="M16" s="123"/>
      <c r="N16" s="123"/>
      <c r="O16" s="123"/>
    </row>
    <row r="17" spans="1:15">
      <c r="A17" s="4"/>
      <c r="B17" s="5" t="s">
        <v>0</v>
      </c>
      <c r="C17" s="5" t="s">
        <v>1</v>
      </c>
      <c r="D17" s="5" t="s">
        <v>300</v>
      </c>
      <c r="E17" s="6" t="s">
        <v>6</v>
      </c>
      <c r="F17" s="103" t="s">
        <v>467</v>
      </c>
      <c r="G17" s="103" t="s">
        <v>70</v>
      </c>
      <c r="I17" s="123"/>
      <c r="J17" s="123"/>
      <c r="K17" s="123"/>
      <c r="L17" s="123"/>
      <c r="M17" s="123"/>
      <c r="N17" s="123"/>
      <c r="O17" s="123"/>
    </row>
    <row r="18" spans="1:15">
      <c r="A18" s="4" t="s">
        <v>3</v>
      </c>
      <c r="B18" s="36">
        <f>B7*B$14</f>
        <v>997.67441860465124</v>
      </c>
      <c r="C18" s="36">
        <f>C7*B$13</f>
        <v>602.23255813953483</v>
      </c>
      <c r="D18" s="5">
        <f>C18*B$11</f>
        <v>156</v>
      </c>
      <c r="E18" s="249">
        <f>SUM(B18:D18)</f>
        <v>1755.9069767441861</v>
      </c>
      <c r="F18">
        <f>B18/C18</f>
        <v>1.6566265060240966</v>
      </c>
      <c r="G18">
        <f>D18/C18</f>
        <v>0.25903614457831325</v>
      </c>
      <c r="I18" s="123"/>
      <c r="J18" s="123"/>
      <c r="K18" s="135"/>
      <c r="L18" s="135"/>
      <c r="M18" s="123"/>
      <c r="N18" s="310"/>
      <c r="O18" s="123"/>
    </row>
    <row r="19" spans="1:15">
      <c r="A19" s="4" t="s">
        <v>4</v>
      </c>
      <c r="B19" s="36">
        <f>B8*B$14</f>
        <v>598.60465116279079</v>
      </c>
      <c r="C19" s="36">
        <f>C8*B$13</f>
        <v>401.4883720930232</v>
      </c>
      <c r="D19" s="5">
        <f>C19*B$11</f>
        <v>103.99999999999999</v>
      </c>
      <c r="E19" s="250">
        <f t="shared" ref="E19:E20" si="5">SUM(B19:D19)</f>
        <v>1104.0930232558139</v>
      </c>
      <c r="F19">
        <f t="shared" ref="F19:F21" si="6">B19/C19</f>
        <v>1.4909638554216871</v>
      </c>
      <c r="G19">
        <f t="shared" ref="G19:G21" si="7">D19/C19</f>
        <v>0.25903614457831325</v>
      </c>
      <c r="I19" s="123"/>
      <c r="J19" s="123"/>
      <c r="K19" s="135"/>
      <c r="L19" s="135"/>
      <c r="M19" s="123"/>
      <c r="N19" s="311"/>
      <c r="O19" s="123"/>
    </row>
    <row r="20" spans="1:15" ht="15.75" thickBot="1">
      <c r="A20" s="4" t="s">
        <v>5</v>
      </c>
      <c r="B20" s="36">
        <f>B9*B$14</f>
        <v>159.62790697674419</v>
      </c>
      <c r="C20" s="36">
        <f>C9*B$13</f>
        <v>100.3720930232558</v>
      </c>
      <c r="D20" s="5">
        <f>C20*B$11</f>
        <v>25.999999999999996</v>
      </c>
      <c r="E20" s="246">
        <f t="shared" si="5"/>
        <v>286</v>
      </c>
      <c r="F20">
        <f t="shared" si="6"/>
        <v>1.5903614457831328</v>
      </c>
      <c r="G20">
        <f t="shared" si="7"/>
        <v>0.25903614457831325</v>
      </c>
      <c r="I20" s="123"/>
      <c r="J20" s="123"/>
      <c r="K20" s="135"/>
      <c r="L20" s="135"/>
      <c r="M20" s="123"/>
      <c r="N20" s="123"/>
      <c r="O20" s="123"/>
    </row>
    <row r="21" spans="1:15" ht="16.5" thickTop="1" thickBot="1">
      <c r="A21" s="7" t="s">
        <v>301</v>
      </c>
      <c r="B21" s="251">
        <f>SUM(B18:B20)</f>
        <v>1755.9069767441863</v>
      </c>
      <c r="C21" s="252">
        <f t="shared" ref="C21:D21" si="8">SUM(C18:C20)</f>
        <v>1104.0930232558137</v>
      </c>
      <c r="D21" s="246">
        <f t="shared" si="8"/>
        <v>286</v>
      </c>
      <c r="E21" s="247">
        <f>SUM(E18:E20)</f>
        <v>3146</v>
      </c>
      <c r="F21">
        <f t="shared" si="6"/>
        <v>1.5903614457831332</v>
      </c>
      <c r="G21">
        <f t="shared" si="7"/>
        <v>0.25903614457831331</v>
      </c>
      <c r="I21" s="123"/>
      <c r="J21" s="123"/>
      <c r="K21" s="310"/>
      <c r="L21" s="311"/>
      <c r="M21" s="138"/>
      <c r="N21" s="139"/>
      <c r="O21" s="123"/>
    </row>
    <row r="22" spans="1:15" ht="15.75" thickTop="1">
      <c r="I22" s="123"/>
      <c r="J22" s="123"/>
      <c r="K22" s="123"/>
      <c r="L22" s="123"/>
      <c r="M22" s="123"/>
      <c r="N22" s="123"/>
      <c r="O22" s="123"/>
    </row>
    <row r="23" spans="1:15">
      <c r="A23" t="s">
        <v>386</v>
      </c>
    </row>
    <row r="24" spans="1:15">
      <c r="A24" t="s">
        <v>387</v>
      </c>
    </row>
  </sheetData>
  <mergeCells count="6">
    <mergeCell ref="A4:E4"/>
    <mergeCell ref="C11:E14"/>
    <mergeCell ref="A15:E15"/>
    <mergeCell ref="J4:N4"/>
    <mergeCell ref="L11:N14"/>
    <mergeCell ref="J15:N1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95"/>
  <sheetViews>
    <sheetView workbookViewId="0">
      <selection activeCell="H19" sqref="H19"/>
    </sheetView>
  </sheetViews>
  <sheetFormatPr defaultRowHeight="15"/>
  <cols>
    <col min="1" max="1" width="10.42578125" customWidth="1"/>
    <col min="3" max="3" width="25.28515625" customWidth="1"/>
    <col min="4" max="4" width="19" customWidth="1"/>
    <col min="5" max="5" width="12.42578125" customWidth="1"/>
    <col min="6" max="6" width="12.140625" customWidth="1"/>
    <col min="10" max="10" width="20" customWidth="1"/>
    <col min="11" max="11" width="16.140625" customWidth="1"/>
    <col min="12" max="12" width="25.42578125" customWidth="1"/>
    <col min="14" max="14" width="15.85546875" customWidth="1"/>
    <col min="15" max="15" width="19.85546875" customWidth="1"/>
    <col min="16" max="16" width="14.5703125" customWidth="1"/>
    <col min="17" max="17" width="16" customWidth="1"/>
  </cols>
  <sheetData>
    <row r="1" spans="1:17" ht="15.75" thickBot="1">
      <c r="A1" s="120" t="s">
        <v>514</v>
      </c>
    </row>
    <row r="2" spans="1:17" ht="16.5" thickTop="1" thickBot="1">
      <c r="A2" s="359" t="s">
        <v>297</v>
      </c>
      <c r="B2" s="360"/>
      <c r="C2" s="360"/>
      <c r="D2" s="360"/>
      <c r="E2" s="361"/>
      <c r="G2" s="97" t="s">
        <v>389</v>
      </c>
    </row>
    <row r="3" spans="1:17" ht="15.75" thickTop="1">
      <c r="A3" s="362" t="s">
        <v>392</v>
      </c>
      <c r="B3" s="363"/>
      <c r="C3" s="363"/>
      <c r="D3" s="363"/>
      <c r="E3" s="364"/>
      <c r="G3" s="97" t="s">
        <v>388</v>
      </c>
    </row>
    <row r="4" spans="1:17" ht="15.75" thickBot="1">
      <c r="A4" s="365" t="s">
        <v>298</v>
      </c>
      <c r="B4" s="366"/>
      <c r="C4" s="366"/>
      <c r="D4" s="366"/>
      <c r="E4" s="367"/>
      <c r="G4" s="30" t="s">
        <v>299</v>
      </c>
    </row>
    <row r="5" spans="1:17" ht="16.5" thickTop="1" thickBot="1">
      <c r="A5" s="130"/>
      <c r="B5" s="13" t="s">
        <v>16</v>
      </c>
      <c r="C5" s="211">
        <v>0.3</v>
      </c>
      <c r="D5" s="123"/>
      <c r="E5" s="98"/>
      <c r="H5" t="s">
        <v>16</v>
      </c>
      <c r="I5">
        <f>K13</f>
        <v>0.30000000000000004</v>
      </c>
    </row>
    <row r="6" spans="1:17" ht="16.5" thickTop="1" thickBot="1">
      <c r="A6" s="1"/>
      <c r="B6" s="11" t="s">
        <v>0</v>
      </c>
      <c r="C6" s="11" t="s">
        <v>1</v>
      </c>
      <c r="D6" s="2" t="s">
        <v>300</v>
      </c>
      <c r="E6" s="3" t="s">
        <v>6</v>
      </c>
      <c r="G6" s="1"/>
      <c r="H6" s="2" t="s">
        <v>0</v>
      </c>
      <c r="I6" s="2" t="s">
        <v>1</v>
      </c>
      <c r="J6" s="2" t="s">
        <v>300</v>
      </c>
      <c r="K6" s="3" t="s">
        <v>6</v>
      </c>
    </row>
    <row r="7" spans="1:17" ht="15.75" thickTop="1">
      <c r="A7" s="212" t="s">
        <v>3</v>
      </c>
      <c r="B7" s="213">
        <v>1000</v>
      </c>
      <c r="C7" s="214">
        <v>500</v>
      </c>
      <c r="D7" s="215">
        <f>(B7+C7)*(C$5)</f>
        <v>450</v>
      </c>
      <c r="E7" s="6">
        <f>SUM(B7:D7)</f>
        <v>1950</v>
      </c>
      <c r="G7" s="4" t="s">
        <v>3</v>
      </c>
      <c r="H7" s="5">
        <f>E17*C13*C11</f>
        <v>1000</v>
      </c>
      <c r="I7" s="5">
        <f>E18*E12*C11</f>
        <v>500</v>
      </c>
      <c r="J7" s="5">
        <f>(H7+I7)*(I$5)</f>
        <v>450.00000000000006</v>
      </c>
      <c r="K7" s="6">
        <f>SUM(H7:J7)</f>
        <v>1950</v>
      </c>
    </row>
    <row r="8" spans="1:17" ht="15.75" thickBot="1">
      <c r="A8" s="212" t="s">
        <v>4</v>
      </c>
      <c r="B8" s="216">
        <v>800</v>
      </c>
      <c r="C8" s="217">
        <v>600</v>
      </c>
      <c r="D8" s="215">
        <f>(B8+C8)*(C$5)</f>
        <v>420</v>
      </c>
      <c r="E8" s="6">
        <f>SUM(B8:D8)</f>
        <v>1820</v>
      </c>
      <c r="G8" s="4" t="s">
        <v>4</v>
      </c>
      <c r="H8" s="5">
        <f>E17*C12*C18</f>
        <v>800</v>
      </c>
      <c r="I8" s="5">
        <f>E18*C14*C18</f>
        <v>600</v>
      </c>
      <c r="J8" s="5">
        <f>(H8+I8)*(I$5)</f>
        <v>420.00000000000006</v>
      </c>
      <c r="K8" s="6">
        <f>SUM(H8:J8)</f>
        <v>1820</v>
      </c>
    </row>
    <row r="9" spans="1:17" ht="15.75" thickTop="1">
      <c r="A9" s="4" t="s">
        <v>5</v>
      </c>
      <c r="B9" s="218">
        <f>E7-B7-B8</f>
        <v>150</v>
      </c>
      <c r="C9" s="218">
        <f>E8-C7-C8</f>
        <v>720</v>
      </c>
      <c r="D9" s="5">
        <f>(B9+C9)*(C$5)</f>
        <v>261</v>
      </c>
      <c r="E9" s="6">
        <f>SUM(B9:D9)</f>
        <v>1131</v>
      </c>
      <c r="G9" s="4" t="s">
        <v>5</v>
      </c>
      <c r="H9" s="5">
        <f>E17*E13*C19</f>
        <v>150.00000000000003</v>
      </c>
      <c r="I9" s="5">
        <f>E18*E14*C19</f>
        <v>719.99999999999989</v>
      </c>
      <c r="J9" s="5">
        <f>(H9+I9)*(I$5)</f>
        <v>261</v>
      </c>
      <c r="K9" s="6">
        <f>SUM(H9:J9)</f>
        <v>1131</v>
      </c>
    </row>
    <row r="10" spans="1:17" ht="15.75" thickBot="1">
      <c r="A10" s="7" t="s">
        <v>301</v>
      </c>
      <c r="B10" s="219">
        <f>SUM(B7:B9)</f>
        <v>1950</v>
      </c>
      <c r="C10" s="219">
        <f t="shared" ref="C10:E10" si="0">SUM(C7:C9)</f>
        <v>1820</v>
      </c>
      <c r="D10" s="219">
        <f t="shared" si="0"/>
        <v>1131</v>
      </c>
      <c r="E10" s="220">
        <f t="shared" si="0"/>
        <v>4901</v>
      </c>
      <c r="G10" s="7"/>
      <c r="H10" s="8">
        <f>SUM(H7:H9)</f>
        <v>1950</v>
      </c>
      <c r="I10" s="8">
        <f t="shared" ref="I10:K10" si="1">SUM(I7:I9)</f>
        <v>1820</v>
      </c>
      <c r="J10" s="8">
        <f t="shared" si="1"/>
        <v>1131</v>
      </c>
      <c r="K10" s="9">
        <f t="shared" si="1"/>
        <v>4901</v>
      </c>
    </row>
    <row r="11" spans="1:17" ht="16.5" thickTop="1" thickBot="1">
      <c r="A11" s="130"/>
      <c r="B11" s="221" t="s">
        <v>113</v>
      </c>
      <c r="C11" s="222">
        <v>200</v>
      </c>
      <c r="D11" s="121"/>
      <c r="E11" s="122"/>
    </row>
    <row r="12" spans="1:17" ht="16.5" thickTop="1" thickBot="1">
      <c r="A12" s="130"/>
      <c r="B12" s="223" t="s">
        <v>302</v>
      </c>
      <c r="C12" s="224">
        <v>0.41025641025641024</v>
      </c>
      <c r="D12" s="1" t="s">
        <v>303</v>
      </c>
      <c r="E12" s="3">
        <f>B8*C7/(C12*B10*C10)</f>
        <v>0.27472527472527475</v>
      </c>
      <c r="F12" t="s">
        <v>304</v>
      </c>
      <c r="G12">
        <f>C13+C14</f>
        <v>0.84249084249084238</v>
      </c>
      <c r="J12" t="s">
        <v>65</v>
      </c>
      <c r="K12">
        <f>E17*E13+E18*E14</f>
        <v>0.76923076923076916</v>
      </c>
      <c r="M12" t="s">
        <v>305</v>
      </c>
    </row>
    <row r="13" spans="1:17" ht="16.5" thickTop="1" thickBot="1">
      <c r="A13" s="130"/>
      <c r="B13" s="225" t="s">
        <v>306</v>
      </c>
      <c r="C13" s="226">
        <f>B7/B10</f>
        <v>0.51282051282051277</v>
      </c>
      <c r="D13" s="4" t="s">
        <v>307</v>
      </c>
      <c r="E13" s="6">
        <f>B9*C11/(B10*(B9+C9)*(1+C5))</f>
        <v>1.3602666122560022E-2</v>
      </c>
      <c r="F13" t="s">
        <v>308</v>
      </c>
      <c r="G13">
        <f>C13*C14-C12*E12</f>
        <v>5.6353902507748646E-2</v>
      </c>
      <c r="J13" t="s">
        <v>16</v>
      </c>
      <c r="K13">
        <f>1/K12-1</f>
        <v>0.30000000000000004</v>
      </c>
    </row>
    <row r="14" spans="1:17" ht="16.5" thickTop="1" thickBot="1">
      <c r="A14" s="130"/>
      <c r="B14" s="7" t="s">
        <v>309</v>
      </c>
      <c r="C14" s="9">
        <f>C8/C10</f>
        <v>0.32967032967032966</v>
      </c>
      <c r="D14" s="7" t="s">
        <v>310</v>
      </c>
      <c r="E14" s="9">
        <f>B8*C9*C11/(B10*C10*(B9+C9)*(1+C5)*C12)</f>
        <v>6.9956568630308677E-2</v>
      </c>
      <c r="M14" s="1"/>
      <c r="N14" s="2" t="s">
        <v>0</v>
      </c>
      <c r="O14" s="2" t="s">
        <v>1</v>
      </c>
      <c r="P14" s="2" t="s">
        <v>300</v>
      </c>
      <c r="Q14" s="3" t="s">
        <v>6</v>
      </c>
    </row>
    <row r="15" spans="1:17" ht="16.5" thickTop="1" thickBot="1">
      <c r="A15" s="140" t="s">
        <v>311</v>
      </c>
      <c r="B15" s="368" t="s">
        <v>312</v>
      </c>
      <c r="C15" s="369"/>
      <c r="D15" s="369"/>
      <c r="E15" s="370"/>
      <c r="M15" s="4" t="s">
        <v>3</v>
      </c>
      <c r="N15" s="5" t="s">
        <v>313</v>
      </c>
      <c r="O15" s="5" t="s">
        <v>314</v>
      </c>
      <c r="P15" s="5" t="s">
        <v>315</v>
      </c>
      <c r="Q15" s="5" t="s">
        <v>316</v>
      </c>
    </row>
    <row r="16" spans="1:17" ht="15.75" thickTop="1">
      <c r="A16" s="130">
        <f>((1-B24)*D25+B25*D24)/(C24*D25+D24*(1-C25))</f>
        <v>1</v>
      </c>
      <c r="B16" s="1" t="s">
        <v>317</v>
      </c>
      <c r="C16" s="2">
        <f>B8/(B10*C12)</f>
        <v>1</v>
      </c>
      <c r="D16" s="2" t="s">
        <v>318</v>
      </c>
      <c r="E16" s="3">
        <f>B8/(C10*C12)</f>
        <v>1.0714285714285714</v>
      </c>
      <c r="F16">
        <f>E17/E18</f>
        <v>1.0714285714285714</v>
      </c>
      <c r="G16">
        <f>E17*C11</f>
        <v>1950</v>
      </c>
      <c r="M16" s="4" t="s">
        <v>4</v>
      </c>
      <c r="N16" s="5" t="s">
        <v>319</v>
      </c>
      <c r="O16" s="5" t="s">
        <v>320</v>
      </c>
      <c r="P16" s="5" t="s">
        <v>321</v>
      </c>
      <c r="Q16" s="5" t="s">
        <v>322</v>
      </c>
    </row>
    <row r="17" spans="1:17">
      <c r="A17" s="130">
        <f>((1-B24)*(1-C25)-C24*B25)/(C24*D25+D24*(1-C25))</f>
        <v>5.655000000000002</v>
      </c>
      <c r="B17" s="4" t="s">
        <v>323</v>
      </c>
      <c r="C17" s="5">
        <f>E9/C11</f>
        <v>5.6550000000000002</v>
      </c>
      <c r="D17" s="5" t="s">
        <v>324</v>
      </c>
      <c r="E17" s="6">
        <f>B10/C11</f>
        <v>9.75</v>
      </c>
      <c r="G17">
        <f>E18*C18</f>
        <v>1820</v>
      </c>
      <c r="M17" s="4" t="s">
        <v>5</v>
      </c>
      <c r="N17" s="5" t="s">
        <v>325</v>
      </c>
      <c r="O17" s="5" t="s">
        <v>326</v>
      </c>
      <c r="P17" s="5" t="s">
        <v>327</v>
      </c>
      <c r="Q17" s="5" t="s">
        <v>328</v>
      </c>
    </row>
    <row r="18" spans="1:17" ht="15.75" thickBot="1">
      <c r="A18" s="130"/>
      <c r="B18" s="4" t="s">
        <v>112</v>
      </c>
      <c r="C18" s="5">
        <f>C16*C11</f>
        <v>200</v>
      </c>
      <c r="D18" s="5" t="s">
        <v>329</v>
      </c>
      <c r="E18" s="6">
        <f>C10*B10*C12/(B8*C11)</f>
        <v>9.1</v>
      </c>
      <c r="G18">
        <f>E19*C19</f>
        <v>1131</v>
      </c>
      <c r="M18" s="7"/>
      <c r="N18" s="8"/>
      <c r="O18" s="8"/>
      <c r="P18" s="8"/>
      <c r="Q18" s="9"/>
    </row>
    <row r="19" spans="1:17" ht="16.5" thickTop="1" thickBot="1">
      <c r="A19" s="227"/>
      <c r="B19" s="7" t="s">
        <v>111</v>
      </c>
      <c r="C19" s="8">
        <f>C17*C11</f>
        <v>1131</v>
      </c>
      <c r="D19" s="8" t="s">
        <v>330</v>
      </c>
      <c r="E19" s="9">
        <v>1</v>
      </c>
      <c r="N19" t="s">
        <v>331</v>
      </c>
    </row>
    <row r="20" spans="1:17" ht="15.75" thickTop="1">
      <c r="A20" s="130"/>
      <c r="B20" s="1" t="s">
        <v>65</v>
      </c>
      <c r="C20" s="3">
        <f>(G12+SQRT(G12^2-4*G13))/2</f>
        <v>0.76923076923076916</v>
      </c>
      <c r="D20" s="228" t="s">
        <v>311</v>
      </c>
      <c r="E20" s="3"/>
      <c r="N20" t="s">
        <v>332</v>
      </c>
    </row>
    <row r="21" spans="1:17" ht="15.75" thickBot="1">
      <c r="A21" s="131"/>
      <c r="B21" s="7" t="s">
        <v>16</v>
      </c>
      <c r="C21" s="9">
        <f>1/C20-1</f>
        <v>0.30000000000000004</v>
      </c>
      <c r="D21" s="7" t="s">
        <v>318</v>
      </c>
      <c r="E21" s="9">
        <f>(C13-C14+SQRT(G12^2-4*G13))/(2*C12)</f>
        <v>1.0714285714285712</v>
      </c>
      <c r="F21">
        <f>E17/E18</f>
        <v>1.0714285714285714</v>
      </c>
    </row>
    <row r="22" spans="1:17" ht="16.5" thickTop="1" thickBot="1"/>
    <row r="23" spans="1:17" ht="16.5" thickTop="1" thickBot="1">
      <c r="B23" s="331" t="s">
        <v>390</v>
      </c>
      <c r="C23" s="332"/>
      <c r="D23" s="333"/>
      <c r="J23" s="30" t="s">
        <v>391</v>
      </c>
    </row>
    <row r="24" spans="1:17" ht="20.25" thickTop="1" thickBot="1">
      <c r="A24" s="229" t="s">
        <v>333</v>
      </c>
      <c r="B24" s="230">
        <f>C13</f>
        <v>0.51282051282051277</v>
      </c>
      <c r="C24" s="231">
        <f>C12</f>
        <v>0.41025641025641024</v>
      </c>
      <c r="D24" s="232">
        <f>E13</f>
        <v>1.3602666122560022E-2</v>
      </c>
      <c r="E24" s="229" t="s">
        <v>333</v>
      </c>
      <c r="F24" s="1" t="s">
        <v>306</v>
      </c>
      <c r="G24" s="233" t="s">
        <v>302</v>
      </c>
      <c r="H24" s="3" t="s">
        <v>307</v>
      </c>
      <c r="I24" s="229" t="s">
        <v>333</v>
      </c>
      <c r="J24" s="1" t="s">
        <v>334</v>
      </c>
      <c r="K24" s="233" t="s">
        <v>302</v>
      </c>
      <c r="L24" s="3" t="s">
        <v>335</v>
      </c>
    </row>
    <row r="25" spans="1:17" ht="16.5" thickTop="1" thickBot="1">
      <c r="B25" s="7">
        <f>E12</f>
        <v>0.27472527472527475</v>
      </c>
      <c r="C25" s="234">
        <f>C14</f>
        <v>0.32967032967032966</v>
      </c>
      <c r="D25" s="9">
        <f>E14</f>
        <v>6.9956568630308677E-2</v>
      </c>
      <c r="F25" s="7" t="s">
        <v>303</v>
      </c>
      <c r="G25" s="8" t="s">
        <v>309</v>
      </c>
      <c r="H25" s="9" t="s">
        <v>310</v>
      </c>
      <c r="J25" s="7" t="s">
        <v>336</v>
      </c>
      <c r="K25" s="8" t="s">
        <v>337</v>
      </c>
      <c r="L25" s="9" t="s">
        <v>338</v>
      </c>
    </row>
    <row r="26" spans="1:17" ht="16.5" thickTop="1" thickBot="1">
      <c r="B26" s="371" t="s">
        <v>339</v>
      </c>
      <c r="C26" s="372"/>
      <c r="D26" s="235">
        <v>1</v>
      </c>
    </row>
    <row r="27" spans="1:17" ht="16.5" thickTop="1" thickBot="1">
      <c r="B27" s="353" t="s">
        <v>340</v>
      </c>
      <c r="C27" s="354"/>
      <c r="D27" s="355"/>
      <c r="J27" s="30" t="s">
        <v>341</v>
      </c>
    </row>
    <row r="28" spans="1:17" ht="15.75" thickTop="1">
      <c r="B28" s="236" t="s">
        <v>132</v>
      </c>
      <c r="C28" s="218" t="s">
        <v>131</v>
      </c>
      <c r="D28" s="237" t="s">
        <v>137</v>
      </c>
      <c r="J28" t="s">
        <v>342</v>
      </c>
    </row>
    <row r="29" spans="1:17" ht="15.75" thickBot="1">
      <c r="B29" s="7">
        <f>E12/D26</f>
        <v>0.27472527472527475</v>
      </c>
      <c r="C29" s="8">
        <f>C14/D26</f>
        <v>0.32967032967032966</v>
      </c>
      <c r="D29" s="9">
        <f>E14/D26</f>
        <v>6.9956568630308677E-2</v>
      </c>
      <c r="J29" t="s">
        <v>343</v>
      </c>
    </row>
    <row r="30" spans="1:17" ht="15.75" thickTop="1">
      <c r="J30" t="s">
        <v>344</v>
      </c>
    </row>
    <row r="31" spans="1:17">
      <c r="B31" s="30" t="s">
        <v>345</v>
      </c>
      <c r="J31" t="s">
        <v>346</v>
      </c>
    </row>
    <row r="32" spans="1:17">
      <c r="B32" t="s">
        <v>324</v>
      </c>
      <c r="C32" t="s">
        <v>347</v>
      </c>
      <c r="J32" t="s">
        <v>348</v>
      </c>
    </row>
    <row r="33" spans="1:7">
      <c r="B33" t="s">
        <v>329</v>
      </c>
      <c r="C33" t="s">
        <v>349</v>
      </c>
    </row>
    <row r="34" spans="1:7">
      <c r="B34" t="s">
        <v>394</v>
      </c>
      <c r="C34" s="254">
        <v>1</v>
      </c>
      <c r="D34" s="30" t="s">
        <v>393</v>
      </c>
    </row>
    <row r="36" spans="1:7">
      <c r="B36" t="s">
        <v>350</v>
      </c>
    </row>
    <row r="37" spans="1:7">
      <c r="B37" t="s">
        <v>113</v>
      </c>
      <c r="C37" t="s">
        <v>351</v>
      </c>
    </row>
    <row r="38" spans="1:7">
      <c r="B38" t="s">
        <v>112</v>
      </c>
      <c r="C38" t="s">
        <v>352</v>
      </c>
    </row>
    <row r="39" spans="1:7">
      <c r="B39" t="s">
        <v>111</v>
      </c>
      <c r="C39" t="s">
        <v>353</v>
      </c>
    </row>
    <row r="40" spans="1:7" ht="15.75" thickBot="1">
      <c r="A40" s="126"/>
      <c r="B40" s="126"/>
      <c r="C40" s="126"/>
      <c r="D40" s="126"/>
      <c r="E40" s="126"/>
      <c r="F40" s="126"/>
      <c r="G40" s="126"/>
    </row>
    <row r="41" spans="1:7" ht="15.75" thickTop="1"/>
    <row r="42" spans="1:7">
      <c r="B42" t="s">
        <v>354</v>
      </c>
    </row>
    <row r="45" spans="1:7">
      <c r="B45" s="30" t="s">
        <v>355</v>
      </c>
    </row>
    <row r="46" spans="1:7">
      <c r="B46" s="30" t="s">
        <v>356</v>
      </c>
    </row>
    <row r="47" spans="1:7">
      <c r="B47" s="30" t="s">
        <v>357</v>
      </c>
    </row>
    <row r="48" spans="1:7">
      <c r="B48" t="s">
        <v>358</v>
      </c>
      <c r="C48">
        <f>((B7-E7)*(D10-C9*D10/C10)+B9*C7*D10/C10)/((B7-E7)*C9-C7*B9)</f>
        <v>0.79418407679277248</v>
      </c>
      <c r="D48" s="30" t="s">
        <v>359</v>
      </c>
    </row>
    <row r="49" spans="1:7">
      <c r="B49" t="s">
        <v>360</v>
      </c>
      <c r="C49">
        <f>C7*D10/(C7*B9-C9*(B7-E7))</f>
        <v>0.74505928853754944</v>
      </c>
    </row>
    <row r="50" spans="1:7">
      <c r="B50" t="s">
        <v>361</v>
      </c>
      <c r="C50">
        <f>D10/(C10*C48)</f>
        <v>0.7824742268041236</v>
      </c>
    </row>
    <row r="51" spans="1:7" ht="15.75" thickBot="1"/>
    <row r="52" spans="1:7" ht="15.75" thickTop="1">
      <c r="A52" s="1"/>
      <c r="B52" s="2" t="s">
        <v>0</v>
      </c>
      <c r="C52" s="2" t="s">
        <v>1</v>
      </c>
      <c r="D52" s="2" t="s">
        <v>300</v>
      </c>
      <c r="E52" s="3" t="s">
        <v>6</v>
      </c>
    </row>
    <row r="53" spans="1:7">
      <c r="A53" s="4" t="s">
        <v>3</v>
      </c>
      <c r="B53" s="238">
        <f>B7*C$49</f>
        <v>745.05928853754949</v>
      </c>
      <c r="C53" s="238">
        <f>C7*C$48</f>
        <v>397.09203839638622</v>
      </c>
      <c r="D53" s="5">
        <f>C53*C$50</f>
        <v>310.71428571428567</v>
      </c>
      <c r="E53" s="6">
        <f>SUM(B53:D53)</f>
        <v>1452.8656126482215</v>
      </c>
    </row>
    <row r="54" spans="1:7">
      <c r="A54" s="4" t="s">
        <v>4</v>
      </c>
      <c r="B54" s="238">
        <f>B8*C$49</f>
        <v>596.0474308300395</v>
      </c>
      <c r="C54" s="238">
        <f>C8*C$48</f>
        <v>476.51044607566348</v>
      </c>
      <c r="D54" s="5">
        <f>C54*C$50</f>
        <v>372.85714285714283</v>
      </c>
      <c r="E54" s="6">
        <f>SUM(B54:D54)</f>
        <v>1445.4150197628458</v>
      </c>
    </row>
    <row r="55" spans="1:7">
      <c r="A55" s="4" t="s">
        <v>5</v>
      </c>
      <c r="B55" s="238">
        <f>B9*C$49</f>
        <v>111.75889328063242</v>
      </c>
      <c r="C55" s="238">
        <f>C9*C$48</f>
        <v>571.81253529079618</v>
      </c>
      <c r="D55" s="5">
        <f t="shared" ref="D55" si="2">C55*C$50</f>
        <v>447.42857142857139</v>
      </c>
      <c r="E55" s="6">
        <f>SUM(B55:D55)</f>
        <v>1131</v>
      </c>
    </row>
    <row r="56" spans="1:7" ht="15.75" thickBot="1">
      <c r="A56" s="7" t="s">
        <v>301</v>
      </c>
      <c r="B56" s="8">
        <f>SUM(B53:B55)</f>
        <v>1452.8656126482215</v>
      </c>
      <c r="C56" s="8">
        <f>SUM(C53:C55)</f>
        <v>1445.415019762846</v>
      </c>
      <c r="D56" s="8">
        <f t="shared" ref="D56:E56" si="3">SUM(D53:D55)</f>
        <v>1130.9999999999998</v>
      </c>
      <c r="E56" s="9">
        <f t="shared" si="3"/>
        <v>4029.280632411067</v>
      </c>
    </row>
    <row r="57" spans="1:7" ht="15.75" thickTop="1">
      <c r="C57" s="128" t="s">
        <v>362</v>
      </c>
      <c r="D57" s="121">
        <f>C10+D10</f>
        <v>2951</v>
      </c>
      <c r="E57" s="122"/>
    </row>
    <row r="58" spans="1:7">
      <c r="C58" s="130" t="s">
        <v>363</v>
      </c>
      <c r="D58" s="123">
        <f>C56+D56</f>
        <v>2576.415019762846</v>
      </c>
      <c r="E58" s="98"/>
    </row>
    <row r="59" spans="1:7">
      <c r="A59" s="123"/>
      <c r="B59" s="123"/>
      <c r="C59" s="130" t="s">
        <v>364</v>
      </c>
      <c r="D59" s="123">
        <f>E10</f>
        <v>4901</v>
      </c>
      <c r="E59" s="98"/>
      <c r="F59" s="123"/>
      <c r="G59" s="123"/>
    </row>
    <row r="60" spans="1:7">
      <c r="C60" s="239" t="s">
        <v>365</v>
      </c>
      <c r="D60" s="123">
        <f>E56</f>
        <v>4029.280632411067</v>
      </c>
      <c r="E60" s="98"/>
    </row>
    <row r="61" spans="1:7" ht="15.75" thickBot="1">
      <c r="C61" s="239"/>
      <c r="D61" s="123"/>
      <c r="E61" s="98"/>
    </row>
    <row r="62" spans="1:7" ht="49.5" customHeight="1" thickTop="1" thickBot="1">
      <c r="C62" s="356" t="s">
        <v>366</v>
      </c>
      <c r="D62" s="357"/>
      <c r="E62" s="358"/>
    </row>
    <row r="63" spans="1:7" ht="15.75" thickTop="1">
      <c r="C63" s="103"/>
    </row>
    <row r="64" spans="1:7">
      <c r="A64" s="30" t="s">
        <v>367</v>
      </c>
    </row>
    <row r="65" spans="1:4">
      <c r="A65" s="30" t="s">
        <v>356</v>
      </c>
    </row>
    <row r="66" spans="1:4">
      <c r="A66" s="30" t="s">
        <v>357</v>
      </c>
    </row>
    <row r="67" spans="1:4">
      <c r="C67" t="s">
        <v>368</v>
      </c>
      <c r="D67" t="s">
        <v>369</v>
      </c>
    </row>
    <row r="68" spans="1:4">
      <c r="B68" t="s">
        <v>306</v>
      </c>
      <c r="C68">
        <f>B7/B$10</f>
        <v>0.51282051282051277</v>
      </c>
      <c r="D68">
        <f>C13</f>
        <v>0.51282051282051277</v>
      </c>
    </row>
    <row r="69" spans="1:4">
      <c r="B69" t="s">
        <v>302</v>
      </c>
      <c r="C69">
        <f>B8/B$10</f>
        <v>0.41025641025641024</v>
      </c>
      <c r="D69">
        <f>C12</f>
        <v>0.41025641025641024</v>
      </c>
    </row>
    <row r="70" spans="1:4">
      <c r="B70" t="s">
        <v>307</v>
      </c>
      <c r="C70">
        <f>B9/B$10</f>
        <v>7.6923076923076927E-2</v>
      </c>
      <c r="D70">
        <f>E13</f>
        <v>1.3602666122560022E-2</v>
      </c>
    </row>
    <row r="71" spans="1:4">
      <c r="B71" t="s">
        <v>303</v>
      </c>
      <c r="C71">
        <f>C7/C$10</f>
        <v>0.27472527472527475</v>
      </c>
      <c r="D71">
        <f>E12</f>
        <v>0.27472527472527475</v>
      </c>
    </row>
    <row r="72" spans="1:4">
      <c r="B72" t="s">
        <v>309</v>
      </c>
      <c r="C72">
        <f>C8/C$10</f>
        <v>0.32967032967032966</v>
      </c>
      <c r="D72">
        <f>C14</f>
        <v>0.32967032967032966</v>
      </c>
    </row>
    <row r="73" spans="1:4">
      <c r="B73" t="s">
        <v>310</v>
      </c>
      <c r="C73">
        <f>C9/C$10</f>
        <v>0.39560439560439559</v>
      </c>
      <c r="D73">
        <f>E14</f>
        <v>6.9956568630308677E-2</v>
      </c>
    </row>
    <row r="75" spans="1:4">
      <c r="B75" t="s">
        <v>370</v>
      </c>
    </row>
    <row r="77" spans="1:4">
      <c r="B77" s="30" t="s">
        <v>371</v>
      </c>
    </row>
    <row r="78" spans="1:4">
      <c r="B78" t="s">
        <v>372</v>
      </c>
      <c r="C78" s="240" t="s">
        <v>334</v>
      </c>
    </row>
    <row r="79" spans="1:4">
      <c r="B79" t="s">
        <v>373</v>
      </c>
      <c r="C79" s="240" t="s">
        <v>374</v>
      </c>
    </row>
    <row r="80" spans="1:4">
      <c r="B80" t="s">
        <v>375</v>
      </c>
      <c r="C80" s="240" t="s">
        <v>376</v>
      </c>
    </row>
    <row r="81" spans="2:3">
      <c r="B81" t="s">
        <v>377</v>
      </c>
      <c r="C81" s="240" t="s">
        <v>378</v>
      </c>
    </row>
    <row r="82" spans="2:3">
      <c r="B82" t="s">
        <v>379</v>
      </c>
      <c r="C82" s="240" t="s">
        <v>337</v>
      </c>
    </row>
    <row r="83" spans="2:3">
      <c r="B83" t="s">
        <v>380</v>
      </c>
      <c r="C83" s="240" t="s">
        <v>381</v>
      </c>
    </row>
    <row r="84" spans="2:3">
      <c r="C84" s="240"/>
    </row>
    <row r="85" spans="2:3">
      <c r="C85" s="240"/>
    </row>
    <row r="86" spans="2:3">
      <c r="C86" s="240"/>
    </row>
    <row r="87" spans="2:3">
      <c r="C87" s="240"/>
    </row>
    <row r="88" spans="2:3">
      <c r="C88" s="240"/>
    </row>
    <row r="89" spans="2:3">
      <c r="C89" s="240"/>
    </row>
    <row r="90" spans="2:3">
      <c r="C90" s="240"/>
    </row>
    <row r="91" spans="2:3">
      <c r="C91" s="240"/>
    </row>
    <row r="92" spans="2:3">
      <c r="C92" s="240"/>
    </row>
    <row r="93" spans="2:3">
      <c r="C93" s="240"/>
    </row>
    <row r="94" spans="2:3">
      <c r="C94" s="240"/>
    </row>
    <row r="95" spans="2:3">
      <c r="C95" s="240"/>
    </row>
  </sheetData>
  <mergeCells count="8">
    <mergeCell ref="B27:D27"/>
    <mergeCell ref="C62:E62"/>
    <mergeCell ref="A2:E2"/>
    <mergeCell ref="A3:E3"/>
    <mergeCell ref="A4:E4"/>
    <mergeCell ref="B15:E15"/>
    <mergeCell ref="B23:D23"/>
    <mergeCell ref="B26:C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79"/>
  <sheetViews>
    <sheetView workbookViewId="0">
      <selection activeCell="I20" sqref="I20"/>
    </sheetView>
  </sheetViews>
  <sheetFormatPr defaultRowHeight="15"/>
  <cols>
    <col min="3" max="3" width="15.140625" customWidth="1"/>
    <col min="4" max="4" width="9.85546875" customWidth="1"/>
    <col min="8" max="8" width="14.42578125" customWidth="1"/>
    <col min="9" max="9" width="14" customWidth="1"/>
    <col min="10" max="10" width="24.5703125" customWidth="1"/>
    <col min="11" max="11" width="13.42578125" customWidth="1"/>
    <col min="13" max="13" width="24.7109375" customWidth="1"/>
  </cols>
  <sheetData>
    <row r="1" spans="1:14">
      <c r="A1" s="120" t="s">
        <v>523</v>
      </c>
    </row>
    <row r="2" spans="1:14">
      <c r="A2" s="30" t="s">
        <v>515</v>
      </c>
    </row>
    <row r="3" spans="1:14">
      <c r="A3" t="s">
        <v>20</v>
      </c>
    </row>
    <row r="4" spans="1:14">
      <c r="A4" t="s">
        <v>21</v>
      </c>
    </row>
    <row r="5" spans="1:14">
      <c r="A5" t="s">
        <v>33</v>
      </c>
    </row>
    <row r="6" spans="1:14">
      <c r="A6" t="s">
        <v>35</v>
      </c>
    </row>
    <row r="7" spans="1:14">
      <c r="A7" t="s">
        <v>34</v>
      </c>
    </row>
    <row r="9" spans="1:14" ht="15.75" thickBot="1">
      <c r="J9" t="s">
        <v>74</v>
      </c>
    </row>
    <row r="10" spans="1:14" ht="16.5" thickTop="1" thickBot="1">
      <c r="A10" s="10"/>
      <c r="B10" s="11" t="s">
        <v>18</v>
      </c>
      <c r="C10" s="16">
        <v>1</v>
      </c>
      <c r="D10" s="11"/>
      <c r="E10" s="11"/>
      <c r="F10" s="12"/>
      <c r="H10" t="s">
        <v>22</v>
      </c>
      <c r="I10">
        <f>(B15+C15)/(B15*L11+C15)</f>
        <v>0.80861244019138756</v>
      </c>
      <c r="J10">
        <f>(B15+C15)/(C15*L19)</f>
        <v>0.80861244019138756</v>
      </c>
      <c r="M10" t="s">
        <v>74</v>
      </c>
    </row>
    <row r="11" spans="1:14" ht="15.75" thickTop="1">
      <c r="A11" s="1"/>
      <c r="B11" s="2" t="s">
        <v>0</v>
      </c>
      <c r="C11" s="2" t="s">
        <v>1</v>
      </c>
      <c r="D11" s="2" t="s">
        <v>2</v>
      </c>
      <c r="E11" s="2" t="s">
        <v>6</v>
      </c>
      <c r="F11" s="3" t="s">
        <v>7</v>
      </c>
      <c r="H11" t="s">
        <v>23</v>
      </c>
      <c r="I11">
        <f>L11*I10</f>
        <v>1.3062200956937799</v>
      </c>
      <c r="J11">
        <f>(B15+C15)*(L19-1)/(B15*L19)</f>
        <v>1.3062200956937799</v>
      </c>
      <c r="K11" t="s">
        <v>28</v>
      </c>
      <c r="L11">
        <f>(C15/B15)*((B12*L12+C12)/(B13*L13+C13))</f>
        <v>1.6153846153846154</v>
      </c>
      <c r="M11">
        <f>C15*(L19-1)/B15</f>
        <v>1.6153846153846152</v>
      </c>
      <c r="N11">
        <f>B15*L11</f>
        <v>3230.7692307692309</v>
      </c>
    </row>
    <row r="12" spans="1:14">
      <c r="A12" s="4" t="s">
        <v>3</v>
      </c>
      <c r="B12" s="15">
        <v>1000</v>
      </c>
      <c r="C12" s="15">
        <v>500</v>
      </c>
      <c r="D12" s="5">
        <f>C12*C$10</f>
        <v>500</v>
      </c>
      <c r="E12" s="21">
        <f>SUM(B12:D12)</f>
        <v>2000</v>
      </c>
      <c r="F12" s="6">
        <f>B12/C12</f>
        <v>2</v>
      </c>
      <c r="H12" t="s">
        <v>24</v>
      </c>
      <c r="I12">
        <f>L12*I10</f>
        <v>1.2129186602870814</v>
      </c>
      <c r="J12">
        <f>(B15+C15)*(L19-1-L17*C12)/(B12*C15*L17*L19)</f>
        <v>1.2129186602870812</v>
      </c>
      <c r="K12" t="s">
        <v>29</v>
      </c>
      <c r="L12" s="31">
        <v>1.5</v>
      </c>
      <c r="N12">
        <f>B12*L12+B13*L13+B14*L14</f>
        <v>3230.7692307692305</v>
      </c>
    </row>
    <row r="13" spans="1:14">
      <c r="A13" s="4" t="s">
        <v>4</v>
      </c>
      <c r="B13" s="15">
        <v>800</v>
      </c>
      <c r="C13" s="15">
        <v>1200</v>
      </c>
      <c r="D13" s="5">
        <f>C13*C$10</f>
        <v>1200</v>
      </c>
      <c r="E13" s="23">
        <f t="shared" ref="E13:E14" si="0">SUM(B13:D13)</f>
        <v>3200</v>
      </c>
      <c r="F13" s="6">
        <f t="shared" ref="F13:F15" si="1">B13/C13</f>
        <v>0.66666666666666663</v>
      </c>
      <c r="H13" t="s">
        <v>25</v>
      </c>
      <c r="I13">
        <f>L13*I10</f>
        <v>0.78935976304397359</v>
      </c>
      <c r="J13">
        <f>(1-L17*C13)*(B15+C15)/(L17*C15*B13*L19)</f>
        <v>0.78935976304397348</v>
      </c>
      <c r="K13" t="s">
        <v>30</v>
      </c>
      <c r="L13">
        <f>(C15/(1+L15)-C13)/B13</f>
        <v>0.97619047619047616</v>
      </c>
    </row>
    <row r="14" spans="1:14" ht="15.75" thickBot="1">
      <c r="A14" s="7" t="s">
        <v>5</v>
      </c>
      <c r="B14" s="8">
        <f>E12-B12-B13</f>
        <v>200</v>
      </c>
      <c r="C14" s="8">
        <f>E13-C12-C13</f>
        <v>1500</v>
      </c>
      <c r="D14" s="8">
        <f>C14*C$10</f>
        <v>1500</v>
      </c>
      <c r="E14" s="25">
        <f t="shared" si="0"/>
        <v>3200</v>
      </c>
      <c r="F14" s="9">
        <f t="shared" si="1"/>
        <v>0.13333333333333333</v>
      </c>
      <c r="H14" t="s">
        <v>26</v>
      </c>
      <c r="I14">
        <f>L14*I10</f>
        <v>3.8401686033264979</v>
      </c>
      <c r="J14">
        <f>C10/(L17*B14)-C14*(B15+C15)/(B14*C15*L19)</f>
        <v>3.8401686033264992</v>
      </c>
      <c r="K14" t="s">
        <v>31</v>
      </c>
      <c r="L14">
        <f>(L15*(B12*L12+C12+B13*L13+C13)-C14)/B14</f>
        <v>4.7490842490842491</v>
      </c>
    </row>
    <row r="15" spans="1:14" ht="16.5" thickTop="1" thickBot="1">
      <c r="A15" s="13" t="s">
        <v>17</v>
      </c>
      <c r="B15" s="22">
        <f>SUM(B12:B14)</f>
        <v>2000</v>
      </c>
      <c r="C15" s="24">
        <f t="shared" ref="C15:E15" si="2">SUM(C12:C14)</f>
        <v>3200</v>
      </c>
      <c r="D15" s="20">
        <f t="shared" si="2"/>
        <v>3200</v>
      </c>
      <c r="E15" s="19">
        <f t="shared" si="2"/>
        <v>8400</v>
      </c>
      <c r="F15" s="14">
        <f t="shared" si="1"/>
        <v>0.625</v>
      </c>
      <c r="K15" t="s">
        <v>32</v>
      </c>
      <c r="L15">
        <f>D15/(B15+C15)</f>
        <v>0.61538461538461542</v>
      </c>
    </row>
    <row r="16" spans="1:14" ht="15.75" thickTop="1"/>
    <row r="17" spans="1:15" ht="15.75" thickBot="1">
      <c r="K17" t="s">
        <v>75</v>
      </c>
      <c r="L17">
        <f>(1+L15)/C15</f>
        <v>5.0480769230769231E-4</v>
      </c>
    </row>
    <row r="18" spans="1:15" ht="16.5" thickTop="1" thickBot="1">
      <c r="A18" s="10"/>
      <c r="B18" s="11" t="s">
        <v>19</v>
      </c>
      <c r="C18" s="18">
        <f>L15</f>
        <v>0.61538461538461542</v>
      </c>
      <c r="D18" s="11"/>
      <c r="E18" s="11"/>
      <c r="F18" s="12"/>
      <c r="K18" t="s">
        <v>76</v>
      </c>
      <c r="L18">
        <f>B12*L12+C12</f>
        <v>2000</v>
      </c>
    </row>
    <row r="19" spans="1:15" ht="15.75" thickTop="1">
      <c r="A19" s="1"/>
      <c r="B19" s="2" t="s">
        <v>8</v>
      </c>
      <c r="C19" s="2" t="s">
        <v>9</v>
      </c>
      <c r="D19" s="2" t="s">
        <v>10</v>
      </c>
      <c r="E19" s="2" t="s">
        <v>11</v>
      </c>
      <c r="F19" s="3" t="s">
        <v>7</v>
      </c>
      <c r="K19" t="s">
        <v>77</v>
      </c>
      <c r="L19">
        <f>1+L17*L18</f>
        <v>2.0096153846153846</v>
      </c>
    </row>
    <row r="20" spans="1:15">
      <c r="A20" s="4" t="s">
        <v>3</v>
      </c>
      <c r="B20" s="17">
        <f>B12*I12</f>
        <v>1212.9186602870814</v>
      </c>
      <c r="C20" s="17">
        <f>C12*I$10</f>
        <v>404.30622009569379</v>
      </c>
      <c r="D20" s="5">
        <f>(B20+C20)*C$18</f>
        <v>995.21531100478478</v>
      </c>
      <c r="E20" s="26">
        <f>SUM(B20:D20)</f>
        <v>2612.4401913875599</v>
      </c>
      <c r="F20" s="6">
        <f>B20/C20</f>
        <v>3</v>
      </c>
    </row>
    <row r="21" spans="1:15">
      <c r="A21" s="4" t="s">
        <v>4</v>
      </c>
      <c r="B21" s="17">
        <f t="shared" ref="B21:B22" si="3">B13*I13</f>
        <v>631.48781043517886</v>
      </c>
      <c r="C21" s="17">
        <f>C13*I$10</f>
        <v>970.33492822966502</v>
      </c>
      <c r="D21" s="5">
        <f>(B21+C21)*C$18</f>
        <v>985.7370699475963</v>
      </c>
      <c r="E21" s="28">
        <f t="shared" ref="E21:E22" si="4">SUM(B21:D21)</f>
        <v>2587.5598086124401</v>
      </c>
      <c r="F21" s="6">
        <f t="shared" ref="F21:F23" si="5">B21/C21</f>
        <v>0.65079365079365081</v>
      </c>
    </row>
    <row r="22" spans="1:15" ht="15.75" thickBot="1">
      <c r="A22" s="7" t="s">
        <v>5</v>
      </c>
      <c r="B22" s="8">
        <f t="shared" si="3"/>
        <v>768.0337206652996</v>
      </c>
      <c r="C22" s="8">
        <f>C14*I$10</f>
        <v>1212.9186602870814</v>
      </c>
      <c r="D22" s="8">
        <f>(B22+C22)*C$18</f>
        <v>1219.047619047619</v>
      </c>
      <c r="E22" s="25">
        <f t="shared" si="4"/>
        <v>3200</v>
      </c>
      <c r="F22" s="9">
        <f t="shared" si="5"/>
        <v>0.63321123321123318</v>
      </c>
    </row>
    <row r="23" spans="1:15" ht="16.5" thickTop="1" thickBot="1">
      <c r="A23" s="13" t="s">
        <v>17</v>
      </c>
      <c r="B23" s="27">
        <f>SUM(B20:B22)</f>
        <v>2612.4401913875599</v>
      </c>
      <c r="C23" s="29">
        <f t="shared" ref="C23" si="6">SUM(C20:C22)</f>
        <v>2587.5598086124401</v>
      </c>
      <c r="D23" s="20">
        <f t="shared" ref="D23" si="7">SUM(D20:D22)</f>
        <v>3200</v>
      </c>
      <c r="E23" s="19">
        <f t="shared" ref="E23" si="8">SUM(E20:E22)</f>
        <v>8400</v>
      </c>
      <c r="F23" s="14">
        <f t="shared" si="5"/>
        <v>1.0096153846153848</v>
      </c>
    </row>
    <row r="24" spans="1:15" ht="15.75" thickTop="1"/>
    <row r="25" spans="1:15">
      <c r="B25" s="30" t="s">
        <v>27</v>
      </c>
    </row>
    <row r="27" spans="1:15">
      <c r="L27" t="s">
        <v>47</v>
      </c>
    </row>
    <row r="28" spans="1:15">
      <c r="F28" t="s">
        <v>45</v>
      </c>
      <c r="L28" t="s">
        <v>46</v>
      </c>
    </row>
    <row r="29" spans="1:15">
      <c r="B29" t="s">
        <v>36</v>
      </c>
      <c r="D29" t="s">
        <v>40</v>
      </c>
      <c r="F29" t="s">
        <v>3</v>
      </c>
      <c r="G29" t="s">
        <v>4</v>
      </c>
      <c r="H29" t="s">
        <v>5</v>
      </c>
      <c r="J29" t="s">
        <v>41</v>
      </c>
      <c r="L29" t="s">
        <v>3</v>
      </c>
      <c r="M29" t="s">
        <v>4</v>
      </c>
      <c r="N29" t="s">
        <v>5</v>
      </c>
      <c r="O29" t="s">
        <v>49</v>
      </c>
    </row>
    <row r="30" spans="1:15">
      <c r="B30" t="s">
        <v>37</v>
      </c>
      <c r="D30">
        <v>100</v>
      </c>
      <c r="F30">
        <v>60</v>
      </c>
      <c r="G30">
        <v>30</v>
      </c>
      <c r="H30">
        <v>10</v>
      </c>
      <c r="J30" t="s">
        <v>42</v>
      </c>
      <c r="K30">
        <v>2</v>
      </c>
      <c r="L30">
        <f>F30*K30+F31*K31+F32*K32</f>
        <v>1820</v>
      </c>
      <c r="M30">
        <f>G30*K30+G31*K31+G32*K32</f>
        <v>760</v>
      </c>
      <c r="N30">
        <f>H30*K30+H31*K31+H32*K32</f>
        <v>620</v>
      </c>
      <c r="O30">
        <f>L30+N30+M30</f>
        <v>3200</v>
      </c>
    </row>
    <row r="31" spans="1:15">
      <c r="B31" t="s">
        <v>38</v>
      </c>
      <c r="D31">
        <v>1000</v>
      </c>
      <c r="F31">
        <v>500</v>
      </c>
      <c r="G31">
        <v>100</v>
      </c>
      <c r="H31">
        <v>400</v>
      </c>
      <c r="J31" t="s">
        <v>43</v>
      </c>
      <c r="K31">
        <v>1</v>
      </c>
    </row>
    <row r="32" spans="1:15">
      <c r="B32" t="s">
        <v>39</v>
      </c>
      <c r="D32">
        <v>500</v>
      </c>
      <c r="F32">
        <v>300</v>
      </c>
      <c r="G32">
        <v>150</v>
      </c>
      <c r="H32">
        <v>50</v>
      </c>
      <c r="J32" t="s">
        <v>44</v>
      </c>
      <c r="K32">
        <v>4</v>
      </c>
    </row>
    <row r="33" spans="1:15">
      <c r="D33">
        <f>SUM(D30:D32)</f>
        <v>1600</v>
      </c>
      <c r="E33" t="s">
        <v>49</v>
      </c>
      <c r="F33">
        <f>SUM(F30:F32)</f>
        <v>860</v>
      </c>
      <c r="G33">
        <f t="shared" ref="G33:H33" si="9">SUM(G30:G32)</f>
        <v>280</v>
      </c>
      <c r="H33">
        <f t="shared" si="9"/>
        <v>460</v>
      </c>
      <c r="I33">
        <f>SUM(F33:H33)</f>
        <v>1600</v>
      </c>
      <c r="L33" t="s">
        <v>48</v>
      </c>
    </row>
    <row r="34" spans="1:15">
      <c r="L34" t="s">
        <v>12</v>
      </c>
      <c r="M34" t="s">
        <v>13</v>
      </c>
      <c r="N34" t="s">
        <v>14</v>
      </c>
      <c r="O34" t="s">
        <v>15</v>
      </c>
    </row>
    <row r="35" spans="1:15">
      <c r="L35">
        <f>L30/F33</f>
        <v>2.1162790697674421</v>
      </c>
      <c r="M35">
        <f>M30/G33</f>
        <v>2.7142857142857144</v>
      </c>
      <c r="N35">
        <f>N30/H33</f>
        <v>1.3478260869565217</v>
      </c>
      <c r="O35">
        <f>O30/D33</f>
        <v>2</v>
      </c>
    </row>
    <row r="37" spans="1:15" ht="15.75" thickBot="1"/>
    <row r="38" spans="1:15" ht="16.5" thickTop="1" thickBot="1">
      <c r="A38" s="10"/>
      <c r="B38" s="11" t="s">
        <v>18</v>
      </c>
      <c r="C38" s="16">
        <v>1</v>
      </c>
      <c r="D38" s="11"/>
      <c r="E38" s="11"/>
      <c r="F38" s="12"/>
    </row>
    <row r="39" spans="1:15" ht="15.75" thickTop="1">
      <c r="A39" s="1"/>
      <c r="B39" s="2" t="s">
        <v>0</v>
      </c>
      <c r="C39" s="2" t="s">
        <v>1</v>
      </c>
      <c r="D39" s="2" t="s">
        <v>2</v>
      </c>
      <c r="E39" s="2" t="s">
        <v>6</v>
      </c>
      <c r="F39" s="3" t="s">
        <v>7</v>
      </c>
    </row>
    <row r="40" spans="1:15">
      <c r="A40" s="4" t="s">
        <v>3</v>
      </c>
      <c r="B40" s="15">
        <f>B12</f>
        <v>1000</v>
      </c>
      <c r="C40" s="15">
        <f>C12</f>
        <v>500</v>
      </c>
      <c r="D40" s="5">
        <f>D12</f>
        <v>500</v>
      </c>
      <c r="E40" s="21">
        <f>SUM(B40:D40)</f>
        <v>2000</v>
      </c>
      <c r="F40" s="6">
        <f>B40/C40</f>
        <v>2</v>
      </c>
    </row>
    <row r="41" spans="1:15">
      <c r="A41" s="4" t="s">
        <v>4</v>
      </c>
      <c r="B41" s="15">
        <f>B13</f>
        <v>800</v>
      </c>
      <c r="C41" s="15">
        <f>C13</f>
        <v>1200</v>
      </c>
      <c r="D41" s="5">
        <f t="shared" ref="D41:D42" si="10">D13</f>
        <v>1200</v>
      </c>
      <c r="E41" s="23">
        <f t="shared" ref="E41:E42" si="11">SUM(B41:D41)</f>
        <v>3200</v>
      </c>
      <c r="F41" s="41">
        <f t="shared" ref="F41:F43" si="12">B41/C41</f>
        <v>0.66666666666666663</v>
      </c>
    </row>
    <row r="42" spans="1:15" ht="15.75" thickBot="1">
      <c r="A42" s="7" t="s">
        <v>5</v>
      </c>
      <c r="B42" s="8">
        <f>B14</f>
        <v>200</v>
      </c>
      <c r="C42" s="8">
        <f>C14</f>
        <v>1500</v>
      </c>
      <c r="D42" s="8">
        <f t="shared" si="10"/>
        <v>1500</v>
      </c>
      <c r="E42" s="25">
        <f t="shared" si="11"/>
        <v>3200</v>
      </c>
      <c r="F42" s="44">
        <f t="shared" si="12"/>
        <v>0.13333333333333333</v>
      </c>
    </row>
    <row r="43" spans="1:15" ht="16.5" thickTop="1" thickBot="1">
      <c r="A43" s="13" t="s">
        <v>17</v>
      </c>
      <c r="B43" s="22">
        <f>SUM(B40:B42)</f>
        <v>2000</v>
      </c>
      <c r="C43" s="24">
        <f t="shared" ref="C43" si="13">SUM(C40:C42)</f>
        <v>3200</v>
      </c>
      <c r="D43" s="20">
        <f t="shared" ref="D43" si="14">SUM(D40:D42)</f>
        <v>3200</v>
      </c>
      <c r="E43" s="19">
        <f t="shared" ref="E43" si="15">SUM(E40:E42)</f>
        <v>8400</v>
      </c>
      <c r="F43" s="14">
        <f t="shared" si="12"/>
        <v>0.625</v>
      </c>
    </row>
    <row r="44" spans="1:15" ht="16.5" thickTop="1" thickBot="1">
      <c r="A44" s="10"/>
      <c r="B44" s="11" t="s">
        <v>19</v>
      </c>
      <c r="C44" s="47">
        <f>C18</f>
        <v>0.61538461538461542</v>
      </c>
      <c r="D44" s="11"/>
      <c r="E44" s="11"/>
      <c r="F44" s="12"/>
    </row>
    <row r="45" spans="1:15" ht="15.75" thickTop="1">
      <c r="A45" s="1"/>
      <c r="B45" s="2" t="s">
        <v>8</v>
      </c>
      <c r="C45" s="2" t="s">
        <v>9</v>
      </c>
      <c r="D45" s="2" t="s">
        <v>10</v>
      </c>
      <c r="E45" s="2" t="s">
        <v>11</v>
      </c>
      <c r="F45" s="3" t="s">
        <v>7</v>
      </c>
    </row>
    <row r="46" spans="1:15">
      <c r="A46" s="4" t="s">
        <v>3</v>
      </c>
      <c r="B46" s="39">
        <f>B20</f>
        <v>1212.9186602870814</v>
      </c>
      <c r="C46" s="39">
        <f t="shared" ref="C46:F46" si="16">C20</f>
        <v>404.30622009569379</v>
      </c>
      <c r="D46" s="36">
        <f t="shared" si="16"/>
        <v>995.21531100478478</v>
      </c>
      <c r="E46" s="40">
        <f t="shared" si="16"/>
        <v>2612.4401913875599</v>
      </c>
      <c r="F46" s="41">
        <f t="shared" si="16"/>
        <v>3</v>
      </c>
    </row>
    <row r="47" spans="1:15">
      <c r="A47" s="4" t="s">
        <v>4</v>
      </c>
      <c r="B47" s="39">
        <f t="shared" ref="B47:F49" si="17">B21</f>
        <v>631.48781043517886</v>
      </c>
      <c r="C47" s="39">
        <f t="shared" si="17"/>
        <v>970.33492822966502</v>
      </c>
      <c r="D47" s="36">
        <f t="shared" si="17"/>
        <v>985.7370699475963</v>
      </c>
      <c r="E47" s="42">
        <f t="shared" si="17"/>
        <v>2587.5598086124401</v>
      </c>
      <c r="F47" s="41">
        <f t="shared" si="17"/>
        <v>0.65079365079365081</v>
      </c>
    </row>
    <row r="48" spans="1:15" ht="15.75" thickBot="1">
      <c r="A48" s="7" t="s">
        <v>5</v>
      </c>
      <c r="B48" s="37">
        <f t="shared" si="17"/>
        <v>768.0337206652996</v>
      </c>
      <c r="C48" s="37">
        <f t="shared" si="17"/>
        <v>1212.9186602870814</v>
      </c>
      <c r="D48" s="37">
        <f t="shared" si="17"/>
        <v>1219.047619047619</v>
      </c>
      <c r="E48" s="43">
        <f t="shared" si="17"/>
        <v>3200</v>
      </c>
      <c r="F48" s="44">
        <f t="shared" si="17"/>
        <v>0.63321123321123318</v>
      </c>
    </row>
    <row r="49" spans="1:8" ht="16.5" thickTop="1" thickBot="1">
      <c r="A49" s="13" t="s">
        <v>17</v>
      </c>
      <c r="B49" s="45">
        <f t="shared" si="17"/>
        <v>2612.4401913875599</v>
      </c>
      <c r="C49" s="46">
        <f t="shared" si="17"/>
        <v>2587.5598086124401</v>
      </c>
      <c r="D49" s="20">
        <f t="shared" si="17"/>
        <v>3200</v>
      </c>
      <c r="E49" s="19">
        <f t="shared" si="17"/>
        <v>8400</v>
      </c>
      <c r="F49" s="48">
        <f t="shared" si="17"/>
        <v>1.0096153846153848</v>
      </c>
    </row>
    <row r="50" spans="1:8" ht="15.75" thickTop="1">
      <c r="A50" s="32" t="s">
        <v>23</v>
      </c>
      <c r="B50" s="35">
        <f>I11</f>
        <v>1.3062200956937799</v>
      </c>
      <c r="C50" s="2" t="s">
        <v>28</v>
      </c>
      <c r="D50" s="35">
        <f>L11</f>
        <v>1.6153846153846154</v>
      </c>
      <c r="E50" s="2" t="s">
        <v>50</v>
      </c>
      <c r="F50" s="38">
        <f>I10</f>
        <v>0.80861244019138756</v>
      </c>
    </row>
    <row r="51" spans="1:8">
      <c r="A51" s="33" t="s">
        <v>24</v>
      </c>
      <c r="B51" s="36">
        <f t="shared" ref="B51:B53" si="18">I12</f>
        <v>1.2129186602870814</v>
      </c>
      <c r="C51" s="5" t="s">
        <v>29</v>
      </c>
      <c r="D51" s="49">
        <f t="shared" ref="D51:D53" si="19">L12</f>
        <v>1.5</v>
      </c>
      <c r="E51" s="5"/>
      <c r="F51" s="6"/>
    </row>
    <row r="52" spans="1:8">
      <c r="A52" s="33" t="s">
        <v>25</v>
      </c>
      <c r="B52" s="36">
        <f t="shared" si="18"/>
        <v>0.78935976304397359</v>
      </c>
      <c r="C52" s="5" t="s">
        <v>30</v>
      </c>
      <c r="D52" s="36">
        <f t="shared" si="19"/>
        <v>0.97619047619047616</v>
      </c>
      <c r="E52" s="5"/>
      <c r="F52" s="6"/>
    </row>
    <row r="53" spans="1:8" ht="15.75" thickBot="1">
      <c r="A53" s="34" t="s">
        <v>26</v>
      </c>
      <c r="B53" s="37">
        <f t="shared" si="18"/>
        <v>3.8401686033264979</v>
      </c>
      <c r="C53" s="8" t="s">
        <v>31</v>
      </c>
      <c r="D53" s="37">
        <f t="shared" si="19"/>
        <v>4.7490842490842491</v>
      </c>
      <c r="E53" s="8"/>
      <c r="F53" s="9"/>
    </row>
    <row r="54" spans="1:8" ht="15.75" thickTop="1"/>
    <row r="57" spans="1:8">
      <c r="B57" s="30" t="s">
        <v>78</v>
      </c>
    </row>
    <row r="59" spans="1:8">
      <c r="B59" s="30" t="s">
        <v>72</v>
      </c>
      <c r="C59" s="30" t="s">
        <v>73</v>
      </c>
      <c r="D59" s="30" t="s">
        <v>67</v>
      </c>
      <c r="E59" s="30" t="s">
        <v>12</v>
      </c>
      <c r="F59" s="30" t="s">
        <v>13</v>
      </c>
      <c r="G59" s="30" t="s">
        <v>14</v>
      </c>
      <c r="H59" s="30" t="s">
        <v>15</v>
      </c>
    </row>
    <row r="60" spans="1:8">
      <c r="B60">
        <f>L12</f>
        <v>1.5</v>
      </c>
      <c r="C60">
        <f>L19</f>
        <v>2.0096153846153846</v>
      </c>
      <c r="D60">
        <f>I10</f>
        <v>0.80861244019138756</v>
      </c>
      <c r="E60">
        <f>I12</f>
        <v>1.2129186602870814</v>
      </c>
      <c r="F60">
        <f>I13</f>
        <v>0.78935976304397359</v>
      </c>
      <c r="G60">
        <f>I14</f>
        <v>3.8401686033264979</v>
      </c>
      <c r="H60">
        <f>I11</f>
        <v>1.3062200956937799</v>
      </c>
    </row>
    <row r="63" spans="1:8">
      <c r="B63" s="30" t="s">
        <v>72</v>
      </c>
      <c r="C63" s="30" t="s">
        <v>73</v>
      </c>
      <c r="D63" s="30" t="s">
        <v>67</v>
      </c>
      <c r="E63" s="30" t="s">
        <v>12</v>
      </c>
      <c r="F63" s="30" t="s">
        <v>13</v>
      </c>
      <c r="G63" s="30" t="s">
        <v>14</v>
      </c>
      <c r="H63" s="30" t="s">
        <v>15</v>
      </c>
    </row>
    <row r="64" spans="1:8">
      <c r="B64">
        <v>0</v>
      </c>
      <c r="C64">
        <v>1.2524038461538463</v>
      </c>
      <c r="D64">
        <v>1.2975047984644914</v>
      </c>
      <c r="E64">
        <v>0</v>
      </c>
      <c r="F64">
        <v>1.2666118270724798</v>
      </c>
      <c r="G64">
        <v>0.17347591627821904</v>
      </c>
      <c r="H64">
        <v>0.52399232245681382</v>
      </c>
    </row>
    <row r="65" spans="2:8">
      <c r="B65">
        <v>0.2</v>
      </c>
      <c r="C65">
        <v>1.3533653846153846</v>
      </c>
      <c r="D65">
        <v>1.2007104795737122</v>
      </c>
      <c r="E65">
        <v>0.24014209591474245</v>
      </c>
      <c r="F65">
        <v>1.1721221348219573</v>
      </c>
      <c r="G65">
        <v>0.8994333079590624</v>
      </c>
      <c r="H65">
        <v>0.6788632326820605</v>
      </c>
    </row>
    <row r="66" spans="2:8">
      <c r="B66">
        <v>0.4</v>
      </c>
      <c r="C66">
        <v>1.4543269230769231</v>
      </c>
      <c r="D66">
        <v>1.1173553719008265</v>
      </c>
      <c r="E66">
        <v>0.44694214876033062</v>
      </c>
      <c r="F66">
        <v>1.0907516725698543</v>
      </c>
      <c r="G66">
        <v>1.5245966155057062</v>
      </c>
      <c r="H66">
        <v>0.81223140495867774</v>
      </c>
    </row>
    <row r="67" spans="2:8">
      <c r="B67">
        <v>0.6</v>
      </c>
      <c r="C67">
        <v>1.5552884615384617</v>
      </c>
      <c r="D67">
        <v>1.044822256568779</v>
      </c>
      <c r="E67">
        <v>0.62689335394126744</v>
      </c>
      <c r="F67">
        <v>1.0199455361742842</v>
      </c>
      <c r="G67">
        <v>2.0685949804960622</v>
      </c>
      <c r="H67">
        <v>0.92828438948995373</v>
      </c>
    </row>
    <row r="68" spans="2:8">
      <c r="B68">
        <v>0.8</v>
      </c>
      <c r="C68">
        <v>1.65625</v>
      </c>
      <c r="D68">
        <v>0.98113207547169812</v>
      </c>
      <c r="E68">
        <v>0.78490566037735854</v>
      </c>
      <c r="F68">
        <v>0.95777178796046714</v>
      </c>
      <c r="G68">
        <v>2.5462713387241691</v>
      </c>
      <c r="H68">
        <v>1.030188679245283</v>
      </c>
    </row>
    <row r="69" spans="2:8">
      <c r="B69">
        <v>1</v>
      </c>
      <c r="C69">
        <v>1.7572115384615383</v>
      </c>
      <c r="D69">
        <v>0.92476060191518461</v>
      </c>
      <c r="E69">
        <v>0.92476060191518461</v>
      </c>
      <c r="F69">
        <v>0.90274249234577542</v>
      </c>
      <c r="G69">
        <v>2.9690573903980195</v>
      </c>
      <c r="H69">
        <v>1.1203830369357046</v>
      </c>
    </row>
    <row r="70" spans="2:8">
      <c r="B70">
        <v>1.2</v>
      </c>
      <c r="C70">
        <v>1.8581730769230771</v>
      </c>
      <c r="D70">
        <v>0.87451487710219933</v>
      </c>
      <c r="E70">
        <v>1.0494178525226392</v>
      </c>
      <c r="F70">
        <v>0.85369309431405171</v>
      </c>
      <c r="G70">
        <v>3.3459003264954101</v>
      </c>
      <c r="H70">
        <v>1.2007761966364814</v>
      </c>
    </row>
    <row r="71" spans="2:8">
      <c r="B71">
        <v>1.4</v>
      </c>
      <c r="C71">
        <v>1.9591346153846154</v>
      </c>
      <c r="D71">
        <v>0.82944785276073618</v>
      </c>
      <c r="E71">
        <v>1.1612269938650306</v>
      </c>
      <c r="F71">
        <v>0.80969909436167098</v>
      </c>
      <c r="G71">
        <v>3.6839030090563836</v>
      </c>
      <c r="H71">
        <v>1.2728834355828222</v>
      </c>
    </row>
    <row r="72" spans="2:8">
      <c r="B72">
        <v>1.5</v>
      </c>
      <c r="C72">
        <v>2.0096153846153846</v>
      </c>
      <c r="D72">
        <v>0.80861244019138756</v>
      </c>
      <c r="E72">
        <v>1.2129186602870814</v>
      </c>
      <c r="F72">
        <v>0.78935976304397359</v>
      </c>
      <c r="G72">
        <v>3.8401686033264979</v>
      </c>
      <c r="H72">
        <v>1.3062200956937799</v>
      </c>
    </row>
    <row r="75" spans="2:8">
      <c r="C75" t="s">
        <v>79</v>
      </c>
      <c r="E75" t="s">
        <v>83</v>
      </c>
    </row>
    <row r="76" spans="2:8">
      <c r="C76" t="s">
        <v>80</v>
      </c>
      <c r="E76" t="s">
        <v>84</v>
      </c>
    </row>
    <row r="77" spans="2:8">
      <c r="C77" t="s">
        <v>81</v>
      </c>
      <c r="E77" t="s">
        <v>85</v>
      </c>
    </row>
    <row r="78" spans="2:8">
      <c r="C78" t="s">
        <v>82</v>
      </c>
      <c r="E78" t="s">
        <v>86</v>
      </c>
    </row>
    <row r="79" spans="2:8">
      <c r="E79" t="s">
        <v>87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DX169"/>
  <sheetViews>
    <sheetView workbookViewId="0">
      <selection activeCell="P1" sqref="P1"/>
    </sheetView>
  </sheetViews>
  <sheetFormatPr defaultRowHeight="15"/>
  <cols>
    <col min="1" max="1" width="22.5703125" customWidth="1"/>
    <col min="2" max="2" width="10" customWidth="1"/>
    <col min="26" max="26" width="18.7109375" customWidth="1"/>
    <col min="96" max="96" width="12" bestFit="1" customWidth="1"/>
  </cols>
  <sheetData>
    <row r="1" spans="1:128" ht="40.5" customHeight="1" thickBot="1">
      <c r="A1" s="326" t="s">
        <v>88</v>
      </c>
      <c r="D1" s="383" t="s">
        <v>526</v>
      </c>
      <c r="E1" s="383"/>
      <c r="F1" s="383"/>
      <c r="G1" s="383"/>
      <c r="H1" s="383"/>
      <c r="I1" s="383"/>
      <c r="J1" s="383"/>
      <c r="K1" s="383"/>
      <c r="L1" s="383"/>
      <c r="M1" s="383"/>
      <c r="N1" s="383"/>
      <c r="AF1" s="97" t="s">
        <v>71</v>
      </c>
      <c r="AG1" s="97">
        <v>1.023439</v>
      </c>
      <c r="AK1" s="97" t="s">
        <v>160</v>
      </c>
      <c r="BC1" s="98"/>
      <c r="BQ1" s="97" t="s">
        <v>71</v>
      </c>
      <c r="BR1" s="97">
        <v>0.81825950000000003</v>
      </c>
      <c r="CH1" s="98"/>
      <c r="CU1" s="97" t="s">
        <v>71</v>
      </c>
      <c r="CV1" s="97">
        <v>1.7123705</v>
      </c>
      <c r="DF1" s="98"/>
      <c r="DR1" s="97" t="s">
        <v>71</v>
      </c>
      <c r="DS1" s="97">
        <v>1.023439</v>
      </c>
    </row>
    <row r="2" spans="1:128" ht="16.5" thickTop="1" thickBot="1">
      <c r="A2" s="380" t="s">
        <v>94</v>
      </c>
      <c r="B2" s="381" t="s">
        <v>91</v>
      </c>
      <c r="C2" s="378" t="s">
        <v>89</v>
      </c>
      <c r="D2" s="376"/>
      <c r="E2" s="379"/>
      <c r="F2" s="375" t="s">
        <v>92</v>
      </c>
      <c r="G2" s="376"/>
      <c r="H2" s="376"/>
      <c r="I2" s="377"/>
      <c r="J2" s="378" t="s">
        <v>93</v>
      </c>
      <c r="K2" s="379"/>
      <c r="T2" s="30" t="s">
        <v>132</v>
      </c>
      <c r="U2" s="10">
        <f>V161</f>
        <v>0.80056583864358943</v>
      </c>
      <c r="V2" s="11">
        <f>W161</f>
        <v>1.0303948191953878</v>
      </c>
      <c r="W2" s="12">
        <f>X161</f>
        <v>0.61648916693242495</v>
      </c>
      <c r="Z2" s="30" t="s">
        <v>69</v>
      </c>
      <c r="AA2" s="10">
        <f>W149</f>
        <v>1.0704920164780938</v>
      </c>
      <c r="AB2" s="11">
        <f>X149</f>
        <v>1.1296266866469153</v>
      </c>
      <c r="AC2" s="12">
        <f>Y149</f>
        <v>0.88076691917384942</v>
      </c>
      <c r="AF2" s="30" t="s">
        <v>66</v>
      </c>
      <c r="AG2" s="10">
        <f>AK75*$AG$1</f>
        <v>1.023439</v>
      </c>
      <c r="AH2" s="11">
        <f t="shared" ref="AH2:AI2" si="0">AL75*$AG$1</f>
        <v>1.0028688963237853</v>
      </c>
      <c r="AI2" s="12">
        <f t="shared" si="0"/>
        <v>0.85468526284162483</v>
      </c>
      <c r="AL2" s="97" t="s">
        <v>161</v>
      </c>
      <c r="BC2" s="98"/>
      <c r="BR2" s="30" t="s">
        <v>148</v>
      </c>
      <c r="CA2" s="30" t="s">
        <v>158</v>
      </c>
      <c r="CH2" s="98"/>
      <c r="CM2" s="30" t="s">
        <v>148</v>
      </c>
      <c r="CV2" s="30" t="s">
        <v>158</v>
      </c>
      <c r="DF2" s="98"/>
      <c r="DH2" s="85" t="s">
        <v>18</v>
      </c>
      <c r="DI2">
        <v>0.60691899999999999</v>
      </c>
    </row>
    <row r="3" spans="1:128" ht="16.5" thickTop="1" thickBot="1">
      <c r="A3" s="373"/>
      <c r="B3" s="382"/>
      <c r="C3" s="57">
        <v>1</v>
      </c>
      <c r="D3" s="58">
        <v>2</v>
      </c>
      <c r="E3" s="59">
        <v>3</v>
      </c>
      <c r="F3" s="69">
        <v>1</v>
      </c>
      <c r="G3" s="58">
        <v>2</v>
      </c>
      <c r="H3" s="58">
        <v>3</v>
      </c>
      <c r="I3" s="70">
        <v>4</v>
      </c>
      <c r="J3" s="57">
        <v>1</v>
      </c>
      <c r="K3" s="59">
        <v>2</v>
      </c>
      <c r="M3" s="30" t="s">
        <v>111</v>
      </c>
      <c r="N3" s="30" t="s">
        <v>113</v>
      </c>
      <c r="O3" s="30" t="s">
        <v>112</v>
      </c>
      <c r="T3" s="30" t="s">
        <v>131</v>
      </c>
      <c r="U3" s="71">
        <f>W134</f>
        <v>1</v>
      </c>
      <c r="V3" s="71">
        <f t="shared" ref="V3:X3" si="1">X134</f>
        <v>0.88365821530914324</v>
      </c>
      <c r="W3" s="71">
        <f t="shared" si="1"/>
        <v>0.87398764216323266</v>
      </c>
      <c r="X3" s="71">
        <f t="shared" si="1"/>
        <v>1.5547255762954475</v>
      </c>
      <c r="Z3" s="30" t="s">
        <v>68</v>
      </c>
      <c r="AA3" s="71">
        <f>W152</f>
        <v>1.264651566418737</v>
      </c>
      <c r="AB3" s="72">
        <f>X152</f>
        <v>1.2626400720240007</v>
      </c>
      <c r="AC3" s="72">
        <f>Y152</f>
        <v>1.1420591870526224</v>
      </c>
      <c r="AD3" s="73">
        <f>Z152</f>
        <v>1.8888354729053838</v>
      </c>
      <c r="AF3" s="30" t="s">
        <v>64</v>
      </c>
      <c r="AG3" s="71">
        <f>AN75*$AG$1</f>
        <v>1.2008735755417752</v>
      </c>
      <c r="AH3" s="72">
        <f t="shared" ref="AH3:AJ3" si="2">AO75*$AG$1</f>
        <v>1.2594005085108397</v>
      </c>
      <c r="AI3" s="72">
        <f t="shared" si="2"/>
        <v>1.0819270180922367</v>
      </c>
      <c r="AJ3" s="73">
        <f t="shared" si="2"/>
        <v>1.7628453308356846</v>
      </c>
      <c r="BC3" s="98"/>
      <c r="BQ3" s="1"/>
      <c r="BR3" s="2" t="s">
        <v>0</v>
      </c>
      <c r="BS3" s="2" t="s">
        <v>1</v>
      </c>
      <c r="BT3" s="2" t="s">
        <v>2</v>
      </c>
      <c r="BU3" s="3" t="s">
        <v>6</v>
      </c>
      <c r="BZ3" s="1"/>
      <c r="CA3" s="2" t="s">
        <v>8</v>
      </c>
      <c r="CB3" s="2" t="s">
        <v>9</v>
      </c>
      <c r="CC3" s="2" t="s">
        <v>10</v>
      </c>
      <c r="CD3" s="3" t="s">
        <v>11</v>
      </c>
      <c r="CH3" s="98"/>
      <c r="CL3" s="1"/>
      <c r="CM3" s="2" t="s">
        <v>0</v>
      </c>
      <c r="CN3" s="2" t="s">
        <v>1</v>
      </c>
      <c r="CO3" s="2" t="s">
        <v>2</v>
      </c>
      <c r="CP3" s="3" t="s">
        <v>6</v>
      </c>
      <c r="CU3" s="1"/>
      <c r="CV3" s="2" t="s">
        <v>8</v>
      </c>
      <c r="CW3" s="2" t="s">
        <v>9</v>
      </c>
      <c r="CX3" s="2" t="s">
        <v>10</v>
      </c>
      <c r="CY3" s="3" t="s">
        <v>11</v>
      </c>
      <c r="DF3" s="98"/>
      <c r="DJ3" s="30" t="s">
        <v>148</v>
      </c>
      <c r="DS3" s="30" t="s">
        <v>158</v>
      </c>
    </row>
    <row r="4" spans="1:128" ht="16.5" thickTop="1" thickBot="1">
      <c r="A4" s="373" t="s">
        <v>90</v>
      </c>
      <c r="B4" s="66">
        <v>1</v>
      </c>
      <c r="C4" s="51">
        <v>2.1658203212191831E-2</v>
      </c>
      <c r="D4" s="52">
        <v>6.6149845323472706E-2</v>
      </c>
      <c r="E4" s="53">
        <v>5.7625807062618196E-2</v>
      </c>
      <c r="F4" s="51">
        <v>8.8371227362829874E-2</v>
      </c>
      <c r="G4" s="52">
        <v>0.17383605769892549</v>
      </c>
      <c r="H4" s="52">
        <v>6.8945324507547314E-3</v>
      </c>
      <c r="I4" s="53">
        <v>0.10909928193602046</v>
      </c>
      <c r="J4" s="51">
        <v>0.19019810833878736</v>
      </c>
      <c r="K4" s="53">
        <v>6.0643314799833849E-2</v>
      </c>
      <c r="M4" s="79">
        <v>200</v>
      </c>
      <c r="N4" s="81">
        <f>H70</f>
        <v>179.72119578782159</v>
      </c>
      <c r="O4" s="82">
        <f>H60</f>
        <v>220.38103082299128</v>
      </c>
      <c r="T4" s="30" t="s">
        <v>137</v>
      </c>
      <c r="U4" s="71">
        <f>W145</f>
        <v>0.81835904675581084</v>
      </c>
      <c r="V4" s="73">
        <f>X145</f>
        <v>0.50579599365085559</v>
      </c>
      <c r="Z4" s="30" t="s">
        <v>149</v>
      </c>
      <c r="AA4" s="71">
        <f>W155</f>
        <v>1.265114653403999</v>
      </c>
      <c r="AB4" s="73">
        <f>X155</f>
        <v>0.72904798401005455</v>
      </c>
      <c r="AF4" s="30" t="s">
        <v>157</v>
      </c>
      <c r="AG4" s="71">
        <f>AK79*$AG$1</f>
        <v>1.2792141459795527</v>
      </c>
      <c r="AH4" s="73">
        <f>AL79*$AG$1</f>
        <v>0.72434767838301495</v>
      </c>
      <c r="BC4" s="98"/>
      <c r="BQ4" s="4" t="s">
        <v>3</v>
      </c>
      <c r="BR4" s="5">
        <v>294.54226520338119</v>
      </c>
      <c r="BS4" s="5">
        <v>486.70029525928783</v>
      </c>
      <c r="BT4" s="5">
        <v>346.33885030828077</v>
      </c>
      <c r="BU4" s="88">
        <v>1127.5814107709498</v>
      </c>
      <c r="BW4" s="99">
        <f>ABS((BR5-BS4)/BS4)</f>
        <v>8.9243152373345416E-2</v>
      </c>
      <c r="BZ4" s="4" t="s">
        <v>3</v>
      </c>
      <c r="CA4" s="5">
        <v>272.64007292329268</v>
      </c>
      <c r="CB4" s="5">
        <v>475.68783540534201</v>
      </c>
      <c r="CC4" s="5">
        <v>305.00648218821829</v>
      </c>
      <c r="CD4" s="93">
        <v>1053.3343905168531</v>
      </c>
      <c r="CF4" s="99">
        <f>ABS((CA5-CB4)/CB4)</f>
        <v>0.11438741435599052</v>
      </c>
      <c r="CH4" s="98"/>
      <c r="CL4" s="4" t="s">
        <v>3</v>
      </c>
      <c r="CM4" s="5">
        <v>43.620188739220161</v>
      </c>
      <c r="CN4" s="5">
        <v>42.44104266581575</v>
      </c>
      <c r="CO4" s="5">
        <v>123.60401942864182</v>
      </c>
      <c r="CP4" s="88">
        <v>209.66525083367773</v>
      </c>
      <c r="CR4" s="99">
        <f>ABS((CM5-CN4)/CN4)</f>
        <v>7.3409708679172958E-2</v>
      </c>
      <c r="CU4" s="4" t="s">
        <v>3</v>
      </c>
      <c r="CV4" s="5">
        <v>53.105968029611972</v>
      </c>
      <c r="CW4" s="5">
        <v>45.017673456709147</v>
      </c>
      <c r="CX4" s="5">
        <v>153.48598124931837</v>
      </c>
      <c r="CY4" s="93">
        <v>251.6096227356395</v>
      </c>
      <c r="DA4" s="99">
        <f>ABS((CV5-CW4)/CW4)</f>
        <v>0.23760617883388702</v>
      </c>
      <c r="DF4" s="98"/>
      <c r="DI4" s="1"/>
      <c r="DJ4" s="2" t="s">
        <v>0</v>
      </c>
      <c r="DK4" s="2" t="s">
        <v>1</v>
      </c>
      <c r="DL4" s="2" t="s">
        <v>2</v>
      </c>
      <c r="DM4" s="3" t="s">
        <v>6</v>
      </c>
      <c r="DR4" s="1"/>
      <c r="DS4" s="2" t="s">
        <v>8</v>
      </c>
      <c r="DT4" s="2" t="s">
        <v>9</v>
      </c>
      <c r="DU4" s="2" t="s">
        <v>10</v>
      </c>
      <c r="DV4" s="3" t="s">
        <v>11</v>
      </c>
    </row>
    <row r="5" spans="1:128" ht="16.5" thickTop="1" thickBot="1">
      <c r="A5" s="373"/>
      <c r="B5" s="67">
        <v>2</v>
      </c>
      <c r="C5" s="54">
        <v>0.18644963197557773</v>
      </c>
      <c r="D5" s="55">
        <v>6.5861559479744262E-3</v>
      </c>
      <c r="E5" s="56">
        <v>0.1663025028816171</v>
      </c>
      <c r="F5" s="54">
        <v>7.5616545903622531E-2</v>
      </c>
      <c r="G5" s="55">
        <v>0.12827006393936258</v>
      </c>
      <c r="H5" s="55">
        <v>0.1482280775914763</v>
      </c>
      <c r="I5" s="56">
        <v>8.708979379602387E-2</v>
      </c>
      <c r="J5" s="54">
        <v>0.19802114884055963</v>
      </c>
      <c r="K5" s="56">
        <v>4.5956129885367195E-2</v>
      </c>
      <c r="M5" s="80">
        <v>600</v>
      </c>
      <c r="N5" s="83">
        <f t="shared" ref="N5:N6" si="3">H71</f>
        <v>217.89667058097541</v>
      </c>
      <c r="O5" s="67">
        <f>H61</f>
        <v>187.04690375892736</v>
      </c>
      <c r="T5" s="85" t="s">
        <v>18</v>
      </c>
      <c r="U5">
        <f>T86</f>
        <v>0.60691899999999999</v>
      </c>
      <c r="BC5" s="98"/>
      <c r="BQ5" s="4" t="s">
        <v>4</v>
      </c>
      <c r="BR5" s="5">
        <v>443.265626649311</v>
      </c>
      <c r="BS5" s="5">
        <v>541.68513411663037</v>
      </c>
      <c r="BT5" s="5">
        <v>385.46639154819883</v>
      </c>
      <c r="BU5" s="90">
        <v>1370.4171523141401</v>
      </c>
      <c r="BW5" s="99">
        <f>ABS((BT4-BR6)/BR6)</f>
        <v>0.11143565814969102</v>
      </c>
      <c r="BZ5" s="4" t="s">
        <v>4</v>
      </c>
      <c r="CA5" s="5">
        <v>421.27513387272694</v>
      </c>
      <c r="CB5" s="5">
        <v>530.21012586880943</v>
      </c>
      <c r="CC5" s="5">
        <v>387.81016810649436</v>
      </c>
      <c r="CD5" s="95">
        <v>1339.2954278480306</v>
      </c>
      <c r="CF5" s="99">
        <f>ABS((CC4-CA6)/CA6)</f>
        <v>0.15138991789571574</v>
      </c>
      <c r="CH5" s="98"/>
      <c r="CL5" s="4" t="s">
        <v>4</v>
      </c>
      <c r="CM5" s="5">
        <v>45.556627243953635</v>
      </c>
      <c r="CN5" s="5">
        <v>67.415692690703636</v>
      </c>
      <c r="CO5" s="5">
        <v>196.33944092162457</v>
      </c>
      <c r="CP5" s="90">
        <v>309.31176085628181</v>
      </c>
      <c r="CR5" s="99">
        <f>ABS((CO4-CM6)/CM6)</f>
        <v>2.5857955429527835E-2</v>
      </c>
      <c r="CU5" s="4" t="s">
        <v>4</v>
      </c>
      <c r="CV5" s="5">
        <v>55.71415082674951</v>
      </c>
      <c r="CW5" s="5">
        <v>70.754127463540954</v>
      </c>
      <c r="CX5" s="5">
        <v>197.82294558445528</v>
      </c>
      <c r="CY5" s="95">
        <v>324.29122387474575</v>
      </c>
      <c r="DA5" s="99">
        <f>ABS((CX4-CV6)/CV6)</f>
        <v>7.491687644190273E-2</v>
      </c>
      <c r="DF5" s="98"/>
      <c r="DI5" s="4" t="s">
        <v>3</v>
      </c>
      <c r="DJ5" s="5">
        <v>115.78449321290611</v>
      </c>
      <c r="DK5" s="5">
        <v>295.52777815237619</v>
      </c>
      <c r="DL5" s="5">
        <v>179.361423588462</v>
      </c>
      <c r="DM5" s="88">
        <v>590.6736949537443</v>
      </c>
      <c r="DO5" s="99">
        <f>ABS((DJ6-DK5)/DK5)</f>
        <v>0.14868616490609157</v>
      </c>
      <c r="DR5" s="4" t="s">
        <v>3</v>
      </c>
      <c r="DS5" s="5">
        <v>105.98103053196199</v>
      </c>
      <c r="DT5" s="5">
        <v>280.74703357819664</v>
      </c>
      <c r="DU5" s="5">
        <v>163.36379584576582</v>
      </c>
      <c r="DV5" s="93">
        <v>550.09185995592452</v>
      </c>
      <c r="DX5" s="99">
        <f>ABS((DS6-DT5)/DT5)</f>
        <v>0.16354633560703194</v>
      </c>
    </row>
    <row r="6" spans="1:128" ht="16.5" thickTop="1" thickBot="1">
      <c r="A6" s="373"/>
      <c r="B6" s="67">
        <v>3</v>
      </c>
      <c r="C6" s="57">
        <v>4.1012853029683605E-2</v>
      </c>
      <c r="D6" s="58">
        <v>2.3819115095645674E-2</v>
      </c>
      <c r="E6" s="59">
        <v>1.672410737264194E-2</v>
      </c>
      <c r="F6" s="57">
        <v>9.6089445451752423E-2</v>
      </c>
      <c r="G6" s="58">
        <v>5.4491666754855755E-2</v>
      </c>
      <c r="H6" s="58">
        <v>0.10587206303487502</v>
      </c>
      <c r="I6" s="59">
        <v>0.13504257312358381</v>
      </c>
      <c r="J6" s="57">
        <v>2.209446727376765E-2</v>
      </c>
      <c r="K6" s="59">
        <v>0.12082712572755093</v>
      </c>
      <c r="M6" s="50"/>
      <c r="N6" s="84">
        <f t="shared" si="3"/>
        <v>172.73774972601217</v>
      </c>
      <c r="O6" s="67">
        <f>H62</f>
        <v>184.96545864742762</v>
      </c>
      <c r="V6" s="30" t="s">
        <v>148</v>
      </c>
      <c r="AE6" s="30" t="s">
        <v>158</v>
      </c>
      <c r="BC6" s="98"/>
      <c r="BQ6" s="4" t="s">
        <v>5</v>
      </c>
      <c r="BR6" s="5">
        <v>389.77351891825788</v>
      </c>
      <c r="BS6" s="5">
        <v>342.03198128169475</v>
      </c>
      <c r="BT6" s="5">
        <v>243.39201007194166</v>
      </c>
      <c r="BU6" s="91">
        <v>975.1975102718942</v>
      </c>
      <c r="BW6" s="99">
        <f>ABS((BT5-BS6)/BT5)</f>
        <v>0.11268014856510006</v>
      </c>
      <c r="BZ6" s="4" t="s">
        <v>5</v>
      </c>
      <c r="CA6" s="5">
        <v>359.41887637240745</v>
      </c>
      <c r="CB6" s="5">
        <v>333.39707591339987</v>
      </c>
      <c r="CC6" s="5">
        <v>282.38069709645845</v>
      </c>
      <c r="CD6" s="91">
        <v>975.19664938226572</v>
      </c>
      <c r="CF6" s="99">
        <f>ABS((CC5-CB6)/CC5)</f>
        <v>0.14030857534955715</v>
      </c>
      <c r="CH6" s="98"/>
      <c r="CL6" s="4" t="s">
        <v>5</v>
      </c>
      <c r="CM6" s="5">
        <v>120.48843485050392</v>
      </c>
      <c r="CN6" s="5">
        <v>199.45387029210599</v>
      </c>
      <c r="CO6" s="5">
        <v>580.88346822262076</v>
      </c>
      <c r="CP6" s="91">
        <v>900.8257733652307</v>
      </c>
      <c r="CR6" s="99">
        <f>ABS((CO5-CN6)/CO5)</f>
        <v>1.5862474477171633E-2</v>
      </c>
      <c r="CU6" s="4" t="s">
        <v>5</v>
      </c>
      <c r="CV6" s="5">
        <v>142.78869800367676</v>
      </c>
      <c r="CW6" s="5">
        <v>208.51838437552001</v>
      </c>
      <c r="CX6" s="5">
        <v>549.51805132836341</v>
      </c>
      <c r="CY6" s="91">
        <v>900.82513370756021</v>
      </c>
      <c r="DA6" s="99">
        <f>ABS((CX5-CW6)/CX5)</f>
        <v>5.4065713961875046E-2</v>
      </c>
      <c r="DF6" s="98"/>
      <c r="DI6" s="4" t="s">
        <v>4</v>
      </c>
      <c r="DJ6" s="5">
        <v>251.58688619568113</v>
      </c>
      <c r="DK6" s="5">
        <v>551.3945281707696</v>
      </c>
      <c r="DL6" s="5">
        <v>334.65181564287531</v>
      </c>
      <c r="DM6" s="90">
        <v>1137.6332300093261</v>
      </c>
      <c r="DO6" s="99">
        <f>ABS((DL5-DJ7)/DJ7)</f>
        <v>0.19677759207028536</v>
      </c>
      <c r="DR6" s="4" t="s">
        <v>4</v>
      </c>
      <c r="DS6" s="5">
        <v>234.83188500393823</v>
      </c>
      <c r="DT6" s="5">
        <v>527.52837655881285</v>
      </c>
      <c r="DU6" s="5">
        <v>322.04041467077587</v>
      </c>
      <c r="DV6" s="95">
        <v>1084.4006762335268</v>
      </c>
      <c r="DX6" s="99">
        <f>ABS((DU5-DS7)/DS7)</f>
        <v>0.21939697302028427</v>
      </c>
    </row>
    <row r="7" spans="1:128" ht="16.5" thickTop="1" thickBot="1">
      <c r="A7" s="373" t="s">
        <v>92</v>
      </c>
      <c r="B7" s="67">
        <v>1</v>
      </c>
      <c r="C7" s="51">
        <v>0.17548930585655378</v>
      </c>
      <c r="D7" s="52">
        <v>1.2417273322108891E-2</v>
      </c>
      <c r="E7" s="53">
        <v>9.6081899503785984E-2</v>
      </c>
      <c r="F7" s="51">
        <v>1.2753312843058319E-2</v>
      </c>
      <c r="G7" s="52">
        <v>0.19808848386524611</v>
      </c>
      <c r="H7" s="52">
        <v>0.15991485083123932</v>
      </c>
      <c r="I7" s="53">
        <v>0.17466317588511751</v>
      </c>
      <c r="J7" s="51">
        <v>1.4023825723970164E-2</v>
      </c>
      <c r="K7" s="53">
        <v>9.8733443249068922E-2</v>
      </c>
      <c r="M7" s="50"/>
      <c r="N7" s="50"/>
      <c r="O7" s="68">
        <f>H63</f>
        <v>217.86646486041786</v>
      </c>
      <c r="U7" s="1"/>
      <c r="V7" s="2" t="s">
        <v>0</v>
      </c>
      <c r="W7" s="2" t="s">
        <v>1</v>
      </c>
      <c r="X7" s="2" t="s">
        <v>2</v>
      </c>
      <c r="Y7" s="3" t="s">
        <v>6</v>
      </c>
      <c r="AD7" s="1"/>
      <c r="AE7" s="2" t="s">
        <v>8</v>
      </c>
      <c r="AF7" s="2" t="s">
        <v>9</v>
      </c>
      <c r="AG7" s="2" t="s">
        <v>10</v>
      </c>
      <c r="AH7" s="3" t="s">
        <v>11</v>
      </c>
      <c r="AM7" s="30" t="s">
        <v>162</v>
      </c>
      <c r="BC7" s="98"/>
      <c r="BQ7" s="7" t="s">
        <v>17</v>
      </c>
      <c r="BR7" s="89">
        <v>1127.58141077095</v>
      </c>
      <c r="BS7" s="25">
        <v>1370.4174106576129</v>
      </c>
      <c r="BT7" s="92">
        <v>975.19725192842122</v>
      </c>
      <c r="BU7" s="9">
        <v>3473.1960733569845</v>
      </c>
      <c r="BZ7" s="7" t="s">
        <v>17</v>
      </c>
      <c r="CA7" s="94">
        <v>1053.3340831684272</v>
      </c>
      <c r="CB7" s="96">
        <v>1339.2950371875513</v>
      </c>
      <c r="CC7" s="92">
        <v>975.19734739117109</v>
      </c>
      <c r="CD7" s="9">
        <v>3367.8264677471498</v>
      </c>
      <c r="CH7" s="98"/>
      <c r="CL7" s="7" t="s">
        <v>17</v>
      </c>
      <c r="CM7" s="89">
        <v>209.6652508336777</v>
      </c>
      <c r="CN7" s="25">
        <v>309.31060564862537</v>
      </c>
      <c r="CO7" s="92">
        <v>900.82692857288714</v>
      </c>
      <c r="CP7" s="9">
        <v>1419.8027850551903</v>
      </c>
      <c r="CU7" s="7" t="s">
        <v>17</v>
      </c>
      <c r="CV7" s="94">
        <v>251.60881686003825</v>
      </c>
      <c r="CW7" s="96">
        <v>324.29018529577013</v>
      </c>
      <c r="CX7" s="92">
        <v>900.82697816213704</v>
      </c>
      <c r="CY7" s="9">
        <v>1476.7259803179454</v>
      </c>
      <c r="DF7" s="98"/>
      <c r="DI7" s="4" t="s">
        <v>5</v>
      </c>
      <c r="DJ7" s="5">
        <v>223.30231554515706</v>
      </c>
      <c r="DK7" s="5">
        <v>290.71123407071258</v>
      </c>
      <c r="DL7" s="5">
        <v>176.4381714709628</v>
      </c>
      <c r="DM7" s="91">
        <v>690.45172108683232</v>
      </c>
      <c r="DO7" s="99">
        <f>ABS((DL6-DK7)/DL6)</f>
        <v>0.13130238510062067</v>
      </c>
      <c r="DR7" s="4" t="s">
        <v>5</v>
      </c>
      <c r="DS7" s="5">
        <v>209.27896792540992</v>
      </c>
      <c r="DT7" s="5">
        <v>276.12531948768805</v>
      </c>
      <c r="DU7" s="5">
        <v>205.04714881262163</v>
      </c>
      <c r="DV7" s="91">
        <v>690.45143622571959</v>
      </c>
      <c r="DX7" s="99">
        <f>ABS((DU6-DT7)/DU6)</f>
        <v>0.14257556844232469</v>
      </c>
    </row>
    <row r="8" spans="1:128" ht="16.5" thickTop="1" thickBot="1">
      <c r="A8" s="373"/>
      <c r="B8" s="67">
        <v>2</v>
      </c>
      <c r="C8" s="54">
        <v>5.317649694377509E-2</v>
      </c>
      <c r="D8" s="55">
        <v>0.12510347939989583</v>
      </c>
      <c r="E8" s="56">
        <v>8.1510989778442958E-3</v>
      </c>
      <c r="F8" s="54">
        <v>0.15447284898455901</v>
      </c>
      <c r="G8" s="55">
        <v>0.17737609184286229</v>
      </c>
      <c r="H8" s="55">
        <v>3.5554048601772602E-2</v>
      </c>
      <c r="I8" s="56">
        <v>0.19133380601138072</v>
      </c>
      <c r="J8" s="54">
        <v>0.14220705095584024</v>
      </c>
      <c r="K8" s="56">
        <v>8.1648175180344396E-3</v>
      </c>
      <c r="U8" s="4" t="s">
        <v>3</v>
      </c>
      <c r="V8" s="5">
        <f>MMULT(AA2:AC2,M12:M14)</f>
        <v>115.78449321290611</v>
      </c>
      <c r="W8" s="5">
        <f>MMULT(AA3:AD3,M17:M20)</f>
        <v>295.52777815237619</v>
      </c>
      <c r="X8" s="5">
        <f>W8*U$5</f>
        <v>179.361423588462</v>
      </c>
      <c r="Y8" s="88">
        <f>SUM(V8:X8)</f>
        <v>590.6736949537443</v>
      </c>
      <c r="AD8" s="4" t="s">
        <v>3</v>
      </c>
      <c r="AE8" s="5">
        <f>MMULT(AG2:AI2,M12:M14)</f>
        <v>105.98103053196199</v>
      </c>
      <c r="AF8" s="5">
        <f>MMULT(AG3:AJ3,M17:M20)</f>
        <v>280.74703357819664</v>
      </c>
      <c r="AG8" s="5">
        <f>(AE8+AF8)*AB$35</f>
        <v>163.36379584576582</v>
      </c>
      <c r="AH8" s="93">
        <f>SUM(AE8:AG8)</f>
        <v>550.09185995592452</v>
      </c>
      <c r="AM8" t="s">
        <v>12</v>
      </c>
      <c r="AN8">
        <f>AE8/V8</f>
        <v>0.91533008947133032</v>
      </c>
      <c r="BC8" s="98"/>
      <c r="CH8" s="98"/>
      <c r="DF8" s="98"/>
      <c r="DI8" s="7" t="s">
        <v>17</v>
      </c>
      <c r="DJ8" s="89">
        <v>590.6736949537443</v>
      </c>
      <c r="DK8" s="25">
        <v>1137.6335403938583</v>
      </c>
      <c r="DL8" s="92">
        <v>690.45141070230011</v>
      </c>
      <c r="DM8" s="9">
        <v>2418.7586460499028</v>
      </c>
      <c r="DR8" s="7" t="s">
        <v>17</v>
      </c>
      <c r="DS8" s="94">
        <v>550.09188346131009</v>
      </c>
      <c r="DT8" s="96">
        <v>1084.4007296246975</v>
      </c>
      <c r="DU8" s="92">
        <v>690.45135932916332</v>
      </c>
      <c r="DV8" s="9">
        <v>2324.9439724151707</v>
      </c>
    </row>
    <row r="9" spans="1:128" ht="15.75" thickTop="1">
      <c r="A9" s="373"/>
      <c r="B9" s="67">
        <v>3</v>
      </c>
      <c r="C9" s="54">
        <v>0.15042088855815325</v>
      </c>
      <c r="D9" s="55">
        <v>9.5907347236873275E-2</v>
      </c>
      <c r="E9" s="56">
        <v>7.5421774240590272E-3</v>
      </c>
      <c r="F9" s="54">
        <v>0.14148101939810065</v>
      </c>
      <c r="G9" s="55">
        <v>3.7343529869431083E-2</v>
      </c>
      <c r="H9" s="55">
        <v>4.0091862200240108E-2</v>
      </c>
      <c r="I9" s="56">
        <v>0.17677297945184295</v>
      </c>
      <c r="J9" s="54">
        <v>5.1449405024751376E-3</v>
      </c>
      <c r="K9" s="56">
        <v>8.434783308349969E-2</v>
      </c>
      <c r="M9" s="30" t="s">
        <v>114</v>
      </c>
      <c r="U9" s="4" t="s">
        <v>4</v>
      </c>
      <c r="V9" s="5">
        <f>MMULT(AA2:AC2,O12:O14)</f>
        <v>251.58688619568113</v>
      </c>
      <c r="W9" s="5">
        <f>MMULT(AA3:AD3,O17:O20)</f>
        <v>551.3945281707696</v>
      </c>
      <c r="X9" s="5">
        <f t="shared" ref="X9:X10" si="4">W9*U$5</f>
        <v>334.65181564287531</v>
      </c>
      <c r="Y9" s="90">
        <f t="shared" ref="Y9:Y11" si="5">SUM(V9:X9)</f>
        <v>1137.6332300093261</v>
      </c>
      <c r="AD9" s="4" t="s">
        <v>4</v>
      </c>
      <c r="AE9" s="5">
        <f>MMULT(AG2:AI2,O12:O14)</f>
        <v>234.83188500393823</v>
      </c>
      <c r="AF9" s="5">
        <f>MMULT(AG3:AJ3,O17:O20)</f>
        <v>527.52837655881285</v>
      </c>
      <c r="AG9" s="5">
        <f t="shared" ref="AG9:AG10" si="6">(AE9+AF9)*AB$35</f>
        <v>322.04041467077587</v>
      </c>
      <c r="AH9" s="95">
        <f t="shared" ref="AH9:AH11" si="7">SUM(AE9:AG9)</f>
        <v>1084.4006762335268</v>
      </c>
      <c r="AM9" t="s">
        <v>13</v>
      </c>
      <c r="AN9">
        <f t="shared" ref="AN9:AN10" si="8">AE9/V9</f>
        <v>0.9334027244221661</v>
      </c>
      <c r="BC9" s="98"/>
      <c r="CH9" s="98"/>
      <c r="CL9" t="s">
        <v>18</v>
      </c>
      <c r="CM9">
        <v>2.9123700000000001</v>
      </c>
      <c r="DF9" s="98"/>
    </row>
    <row r="10" spans="1:128" ht="15.75" thickBot="1">
      <c r="A10" s="373"/>
      <c r="B10" s="67">
        <v>4</v>
      </c>
      <c r="C10" s="57">
        <v>1.976566521362191E-2</v>
      </c>
      <c r="D10" s="58">
        <v>0.18954949610328475</v>
      </c>
      <c r="E10" s="59">
        <v>0.12877302375241725</v>
      </c>
      <c r="F10" s="57">
        <v>0.13212208489959992</v>
      </c>
      <c r="G10" s="58">
        <v>1.7357037297897771E-2</v>
      </c>
      <c r="H10" s="58">
        <v>0.13287249800910494</v>
      </c>
      <c r="I10" s="59">
        <v>0.16050113331234456</v>
      </c>
      <c r="J10" s="57">
        <v>0.16206002279655274</v>
      </c>
      <c r="K10" s="59">
        <v>4.4079277412279974E-2</v>
      </c>
      <c r="U10" s="4" t="s">
        <v>5</v>
      </c>
      <c r="V10" s="5">
        <f>MMULT(AA2:AC2,Q12:Q14)</f>
        <v>223.30231554515706</v>
      </c>
      <c r="W10" s="5">
        <f>MMULT(AA3:AD3,Q17:Q20)</f>
        <v>290.71123407071258</v>
      </c>
      <c r="X10" s="5">
        <f t="shared" si="4"/>
        <v>176.4381714709628</v>
      </c>
      <c r="Y10" s="91">
        <f t="shared" si="5"/>
        <v>690.45172108683232</v>
      </c>
      <c r="AD10" s="4" t="s">
        <v>5</v>
      </c>
      <c r="AE10" s="5">
        <f>MMULT(AG2:AI2,Q12:Q14)</f>
        <v>209.27896792540992</v>
      </c>
      <c r="AF10" s="5">
        <f>MMULT(AG3:AJ3,Q17:Q20)</f>
        <v>276.12531948768805</v>
      </c>
      <c r="AG10" s="5">
        <f t="shared" si="6"/>
        <v>205.04714881262163</v>
      </c>
      <c r="AH10" s="91">
        <f t="shared" si="7"/>
        <v>690.45143622571959</v>
      </c>
      <c r="AJ10" t="s">
        <v>159</v>
      </c>
      <c r="AM10" t="s">
        <v>14</v>
      </c>
      <c r="AN10">
        <f t="shared" si="8"/>
        <v>0.93720016926151717</v>
      </c>
      <c r="BC10" s="98"/>
      <c r="CH10" s="98"/>
      <c r="CL10" t="s">
        <v>16</v>
      </c>
      <c r="CM10">
        <v>1.5642100000000001</v>
      </c>
      <c r="DF10" s="98"/>
      <c r="DH10" t="s">
        <v>16</v>
      </c>
      <c r="DI10">
        <v>0.42242550000000001</v>
      </c>
    </row>
    <row r="11" spans="1:128" ht="16.5" thickTop="1" thickBot="1">
      <c r="A11" s="373" t="s">
        <v>93</v>
      </c>
      <c r="B11" s="67">
        <v>1</v>
      </c>
      <c r="C11" s="51">
        <v>0</v>
      </c>
      <c r="D11" s="52">
        <v>0</v>
      </c>
      <c r="E11" s="53">
        <v>0</v>
      </c>
      <c r="F11" s="51">
        <v>0</v>
      </c>
      <c r="G11" s="52">
        <v>0</v>
      </c>
      <c r="H11" s="52">
        <v>0</v>
      </c>
      <c r="I11" s="53">
        <v>0</v>
      </c>
      <c r="J11" s="51">
        <v>0</v>
      </c>
      <c r="K11" s="53">
        <v>0</v>
      </c>
      <c r="M11" s="30" t="s">
        <v>53</v>
      </c>
      <c r="O11" s="30" t="s">
        <v>54</v>
      </c>
      <c r="Q11" s="30" t="s">
        <v>55</v>
      </c>
      <c r="S11" s="30" t="s">
        <v>113</v>
      </c>
      <c r="U11" s="7" t="s">
        <v>17</v>
      </c>
      <c r="V11" s="89">
        <f>SUM(V8:V10)</f>
        <v>590.6736949537443</v>
      </c>
      <c r="W11" s="25">
        <f t="shared" ref="W11:X11" si="9">SUM(W8:W10)</f>
        <v>1137.6335403938583</v>
      </c>
      <c r="X11" s="92">
        <f t="shared" si="9"/>
        <v>690.45141070230011</v>
      </c>
      <c r="Y11" s="9">
        <f t="shared" si="5"/>
        <v>2418.7586460499028</v>
      </c>
      <c r="AD11" s="7" t="s">
        <v>17</v>
      </c>
      <c r="AE11" s="94">
        <f>SUM(AE8:AE10)</f>
        <v>550.09188346131009</v>
      </c>
      <c r="AF11" s="96">
        <f t="shared" ref="AF11:AG11" si="10">SUM(AF8:AF10)</f>
        <v>1084.4007296246975</v>
      </c>
      <c r="AG11" s="92">
        <f t="shared" si="10"/>
        <v>690.45135932916332</v>
      </c>
      <c r="AH11" s="9">
        <f t="shared" si="7"/>
        <v>2324.9439724151707</v>
      </c>
      <c r="AJ11">
        <f>AG11-X11</f>
        <v>-5.1373136784604867E-5</v>
      </c>
      <c r="AM11" t="s">
        <v>15</v>
      </c>
      <c r="AN11">
        <f>AH8/Y8</f>
        <v>0.93129567924808676</v>
      </c>
      <c r="BC11" s="98"/>
      <c r="CH11" s="98"/>
      <c r="DF11" s="98"/>
    </row>
    <row r="12" spans="1:128" ht="16.5" thickTop="1" thickBot="1">
      <c r="A12" s="374"/>
      <c r="B12" s="68">
        <v>2</v>
      </c>
      <c r="C12" s="57">
        <v>0</v>
      </c>
      <c r="D12" s="58">
        <v>0</v>
      </c>
      <c r="E12" s="59">
        <v>0</v>
      </c>
      <c r="F12" s="57">
        <v>0</v>
      </c>
      <c r="G12" s="58">
        <v>0</v>
      </c>
      <c r="H12" s="58">
        <v>0</v>
      </c>
      <c r="I12" s="59">
        <v>0</v>
      </c>
      <c r="J12" s="57">
        <v>0</v>
      </c>
      <c r="K12" s="59">
        <v>0</v>
      </c>
      <c r="M12">
        <f t="array" ref="M12:M14">MMULT(C15:E17,N4:N6)</f>
        <v>28.260421473483966</v>
      </c>
      <c r="O12">
        <f t="array" ref="O12:O14">MMULT(F15:I17,O4:O7)</f>
        <v>77.035163766679887</v>
      </c>
      <c r="Q12">
        <f t="array" ref="Q12:Q14">MMULT(J15:K17,M4:M5)</f>
        <v>74.425610547657783</v>
      </c>
      <c r="S12">
        <f>M12+O12+Q12</f>
        <v>179.72119578782164</v>
      </c>
      <c r="AM12" t="s">
        <v>163</v>
      </c>
      <c r="AN12">
        <f>AF8/W8</f>
        <v>0.94998526139712491</v>
      </c>
      <c r="BC12" s="98"/>
      <c r="BQ12" s="30" t="s">
        <v>111</v>
      </c>
      <c r="BS12" s="51">
        <v>5.4227648970909752E-2</v>
      </c>
      <c r="BT12" s="86">
        <v>5.0182227665559909E-2</v>
      </c>
      <c r="BU12" s="87">
        <v>6.7294195072159016E-2</v>
      </c>
      <c r="BV12" s="51">
        <v>0.15378379250201851</v>
      </c>
      <c r="BW12" s="86">
        <v>2.1752615041621227E-2</v>
      </c>
      <c r="BX12" s="86">
        <v>0.15410783623565277</v>
      </c>
      <c r="BY12" s="87">
        <v>0.1415375956131962</v>
      </c>
      <c r="BZ12" s="51">
        <v>0.12657653015295858</v>
      </c>
      <c r="CA12" s="87">
        <v>1.2529169847182066E-2</v>
      </c>
      <c r="CH12" s="98"/>
      <c r="DF12" s="98"/>
    </row>
    <row r="13" spans="1:128" ht="15.75" thickTop="1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M13">
        <v>63.670772387414999</v>
      </c>
      <c r="O13">
        <v>87.047990494228145</v>
      </c>
      <c r="Q13">
        <v>67.177907699332252</v>
      </c>
      <c r="S13">
        <f t="shared" ref="S13:S14" si="11">M13+O13+Q13</f>
        <v>217.89667058097541</v>
      </c>
      <c r="AM13" t="s">
        <v>164</v>
      </c>
      <c r="AN13">
        <f t="shared" ref="AN13:AN14" si="12">AF9/W9</f>
        <v>0.95671674201930912</v>
      </c>
      <c r="BC13" s="98"/>
      <c r="BF13" t="s">
        <v>166</v>
      </c>
      <c r="BQ13" s="79">
        <v>200</v>
      </c>
      <c r="BS13" s="54">
        <v>0.10692758813661669</v>
      </c>
      <c r="BT13" s="55">
        <v>0.13666373339524363</v>
      </c>
      <c r="BU13" s="56">
        <v>2.7683271060221105E-2</v>
      </c>
      <c r="BV13" s="54">
        <v>8.5395479042831651E-2</v>
      </c>
      <c r="BW13" s="55">
        <v>8.1699329792603775E-2</v>
      </c>
      <c r="BX13" s="55">
        <v>0.13482696095033547</v>
      </c>
      <c r="BY13" s="56">
        <v>1.2423565856672304E-2</v>
      </c>
      <c r="BZ13" s="54">
        <v>0.11812026588704701</v>
      </c>
      <c r="CA13" s="56">
        <v>0.17538672745860664</v>
      </c>
      <c r="CH13" s="98"/>
      <c r="DF13" s="98"/>
    </row>
    <row r="14" spans="1:128" ht="15.75" thickBot="1">
      <c r="A14" s="50"/>
      <c r="B14" s="50"/>
      <c r="C14" s="50" t="s">
        <v>51</v>
      </c>
      <c r="D14" s="50"/>
      <c r="E14" s="50"/>
      <c r="F14" s="50" t="s">
        <v>52</v>
      </c>
      <c r="G14" s="50"/>
      <c r="H14" s="50"/>
      <c r="I14" s="50"/>
      <c r="J14" s="50" t="s">
        <v>56</v>
      </c>
      <c r="K14" s="50"/>
      <c r="M14">
        <v>15.449869538417543</v>
      </c>
      <c r="O14">
        <v>80.372711296310541</v>
      </c>
      <c r="Q14">
        <v>76.915168891284083</v>
      </c>
      <c r="S14">
        <f t="shared" si="11"/>
        <v>172.73774972601217</v>
      </c>
      <c r="AM14" t="s">
        <v>165</v>
      </c>
      <c r="AN14">
        <f t="shared" si="12"/>
        <v>0.94982679417377913</v>
      </c>
      <c r="BC14" s="98"/>
      <c r="BQ14" s="80">
        <v>600</v>
      </c>
      <c r="BS14" s="57">
        <v>0.18444405297952807</v>
      </c>
      <c r="BT14" s="58">
        <v>0.12263367720700452</v>
      </c>
      <c r="BU14" s="59">
        <v>4.6676594897226045E-2</v>
      </c>
      <c r="BV14" s="57">
        <v>0.17611327510422595</v>
      </c>
      <c r="BW14" s="58">
        <v>0.14676879965691247</v>
      </c>
      <c r="BX14" s="58">
        <v>4.1845800932883974E-2</v>
      </c>
      <c r="BY14" s="59">
        <v>0.15094277695904995</v>
      </c>
      <c r="BZ14" s="57">
        <v>0.16258966273424313</v>
      </c>
      <c r="CA14" s="59">
        <v>7.6659523024404361E-2</v>
      </c>
      <c r="CH14" s="98"/>
      <c r="DF14" s="98"/>
    </row>
    <row r="15" spans="1:128" ht="16.5" thickTop="1" thickBot="1">
      <c r="A15" s="50"/>
      <c r="B15" s="50"/>
      <c r="C15" s="51">
        <f>C4</f>
        <v>2.1658203212191831E-2</v>
      </c>
      <c r="D15" s="52">
        <f t="shared" ref="D15:E15" si="13">D4</f>
        <v>6.6149845323472706E-2</v>
      </c>
      <c r="E15" s="53">
        <f t="shared" si="13"/>
        <v>5.7625807062618196E-2</v>
      </c>
      <c r="F15" s="51">
        <f>F4</f>
        <v>8.8371227362829874E-2</v>
      </c>
      <c r="G15" s="52">
        <f t="shared" ref="G15:I15" si="14">G4</f>
        <v>0.17383605769892549</v>
      </c>
      <c r="H15" s="52">
        <f t="shared" si="14"/>
        <v>6.8945324507547314E-3</v>
      </c>
      <c r="I15" s="53">
        <f t="shared" si="14"/>
        <v>0.10909928193602046</v>
      </c>
      <c r="J15" s="60">
        <f>J4</f>
        <v>0.19019810833878736</v>
      </c>
      <c r="K15" s="61">
        <f>K4</f>
        <v>6.0643314799833849E-2</v>
      </c>
      <c r="AM15" t="s">
        <v>67</v>
      </c>
      <c r="AN15">
        <f>AH9/Y9</f>
        <v>0.95320763109621642</v>
      </c>
      <c r="BC15" s="98"/>
      <c r="BF15">
        <v>0.2</v>
      </c>
      <c r="BS15" s="51">
        <v>8.5072231804192103E-3</v>
      </c>
      <c r="BT15" s="86">
        <v>0.17065500635860842</v>
      </c>
      <c r="BU15" s="87">
        <v>8.1672247826009861E-2</v>
      </c>
      <c r="BV15" s="51">
        <v>7.8559416597992995E-2</v>
      </c>
      <c r="BW15" s="86">
        <v>2.5025154034032805E-2</v>
      </c>
      <c r="BX15" s="86">
        <v>0.1250194404912934</v>
      </c>
      <c r="BY15" s="87">
        <v>0.11237907241110534</v>
      </c>
      <c r="BZ15" s="51">
        <v>0.10597938770694966</v>
      </c>
      <c r="CA15" s="87">
        <v>2.2788742057045799E-2</v>
      </c>
      <c r="CH15" s="98"/>
      <c r="CJ15" s="30" t="s">
        <v>111</v>
      </c>
      <c r="CL15" s="51">
        <v>8.1167761522481827E-2</v>
      </c>
      <c r="CM15" s="86">
        <v>4.4278543955660693E-2</v>
      </c>
      <c r="CN15" s="87">
        <v>9.2344993025794422E-2</v>
      </c>
      <c r="CO15" s="51">
        <v>3.1105909650331488E-2</v>
      </c>
      <c r="CP15" s="86">
        <v>1.362097844984156E-3</v>
      </c>
      <c r="CQ15" s="86">
        <v>2.7565260182876729E-2</v>
      </c>
      <c r="CR15" s="87">
        <v>6.2352641158733582E-2</v>
      </c>
      <c r="CS15" s="60">
        <v>4.1898339199606754E-2</v>
      </c>
      <c r="CT15" s="61">
        <v>3.5644201221335006E-2</v>
      </c>
      <c r="DF15" s="98"/>
      <c r="DI15" s="51">
        <v>2.1658203212191831E-2</v>
      </c>
      <c r="DJ15" s="86">
        <v>6.6149845323472706E-2</v>
      </c>
      <c r="DK15" s="87">
        <v>5.7625807062618196E-2</v>
      </c>
      <c r="DL15" s="51">
        <v>8.8371227362829874E-2</v>
      </c>
      <c r="DM15" s="86">
        <v>0.17383605769892549</v>
      </c>
      <c r="DN15" s="86">
        <v>6.8945324507547314E-3</v>
      </c>
      <c r="DO15" s="87">
        <v>0.10909928193602046</v>
      </c>
      <c r="DP15" s="60">
        <v>0.19019810833878736</v>
      </c>
      <c r="DQ15" s="61">
        <v>6.0643314799833849E-2</v>
      </c>
    </row>
    <row r="16" spans="1:128" ht="16.5" thickTop="1" thickBot="1">
      <c r="A16" s="50"/>
      <c r="B16" s="50"/>
      <c r="C16" s="54">
        <f t="shared" ref="C16:K16" si="15">C5</f>
        <v>0.18644963197557773</v>
      </c>
      <c r="D16" s="55">
        <f t="shared" si="15"/>
        <v>6.5861559479744262E-3</v>
      </c>
      <c r="E16" s="56">
        <f t="shared" si="15"/>
        <v>0.1663025028816171</v>
      </c>
      <c r="F16" s="54">
        <f t="shared" si="15"/>
        <v>7.5616545903622531E-2</v>
      </c>
      <c r="G16" s="55">
        <f t="shared" si="15"/>
        <v>0.12827006393936258</v>
      </c>
      <c r="H16" s="55">
        <f t="shared" si="15"/>
        <v>0.1482280775914763</v>
      </c>
      <c r="I16" s="56">
        <f t="shared" si="15"/>
        <v>8.708979379602387E-2</v>
      </c>
      <c r="J16" s="62">
        <f t="shared" si="15"/>
        <v>0.19802114884055963</v>
      </c>
      <c r="K16" s="63">
        <f t="shared" si="15"/>
        <v>4.5956129885367195E-2</v>
      </c>
      <c r="M16" s="30" t="s">
        <v>58</v>
      </c>
      <c r="O16" s="30" t="s">
        <v>60</v>
      </c>
      <c r="Q16" s="30" t="s">
        <v>61</v>
      </c>
      <c r="S16" s="30" t="s">
        <v>112</v>
      </c>
      <c r="BC16" s="98"/>
      <c r="BF16" s="51">
        <f ca="1">RAND()*$BF$15</f>
        <v>0.18574320791822307</v>
      </c>
      <c r="BG16" s="51">
        <f t="shared" ref="BG16:BN22" ca="1" si="16">RAND()*$BF$15</f>
        <v>7.6881264257931741E-3</v>
      </c>
      <c r="BH16" s="51">
        <f t="shared" ca="1" si="16"/>
        <v>0.14878676290800574</v>
      </c>
      <c r="BI16" s="51">
        <f t="shared" ca="1" si="16"/>
        <v>0.19374675330148544</v>
      </c>
      <c r="BJ16" s="51">
        <f t="shared" ca="1" si="16"/>
        <v>0.18673453379718663</v>
      </c>
      <c r="BK16" s="51">
        <f t="shared" ca="1" si="16"/>
        <v>0.12801533485696295</v>
      </c>
      <c r="BL16" s="51">
        <f t="shared" ca="1" si="16"/>
        <v>9.48632910053437E-2</v>
      </c>
      <c r="BM16" s="51">
        <f t="shared" ca="1" si="16"/>
        <v>0.15698192345687378</v>
      </c>
      <c r="BN16" s="51">
        <f t="shared" ca="1" si="16"/>
        <v>0.10205920515283161</v>
      </c>
      <c r="BS16" s="54">
        <v>2.6478026905607167E-2</v>
      </c>
      <c r="BT16" s="55">
        <v>0.19596516544443068</v>
      </c>
      <c r="BU16" s="56">
        <v>0.17486119870985331</v>
      </c>
      <c r="BV16" s="54">
        <v>1.6975494457643459E-2</v>
      </c>
      <c r="BW16" s="55">
        <v>6.4237787687828535E-2</v>
      </c>
      <c r="BX16" s="55">
        <v>9.8170406394597273E-2</v>
      </c>
      <c r="BY16" s="56">
        <v>2.7711958077846256E-2</v>
      </c>
      <c r="BZ16" s="54">
        <v>7.6913815720795323E-2</v>
      </c>
      <c r="CA16" s="56">
        <v>9.5991219632903593E-3</v>
      </c>
      <c r="CH16" s="98"/>
      <c r="CJ16" s="79">
        <v>200</v>
      </c>
      <c r="CL16" s="54">
        <v>6.9763245787685335E-2</v>
      </c>
      <c r="CM16" s="55">
        <v>6.6727995641608473E-2</v>
      </c>
      <c r="CN16" s="56">
        <v>6.4927519186061683E-2</v>
      </c>
      <c r="CO16" s="54">
        <v>3.5572172974420994E-2</v>
      </c>
      <c r="CP16" s="55">
        <v>8.9817435822031836E-3</v>
      </c>
      <c r="CQ16" s="55">
        <v>8.5889111291409845E-2</v>
      </c>
      <c r="CR16" s="56">
        <v>4.1696455640880363E-2</v>
      </c>
      <c r="CS16" s="62">
        <v>3.7866028657019872E-2</v>
      </c>
      <c r="CT16" s="63">
        <v>6.2603353864103095E-2</v>
      </c>
      <c r="DF16" s="98"/>
      <c r="DI16" s="54">
        <v>0.18644963197557773</v>
      </c>
      <c r="DJ16" s="55">
        <v>6.5861559479744262E-3</v>
      </c>
      <c r="DK16" s="56">
        <v>0.1663025028816171</v>
      </c>
      <c r="DL16" s="54">
        <v>7.5616545903622531E-2</v>
      </c>
      <c r="DM16" s="55">
        <v>0.12827006393936258</v>
      </c>
      <c r="DN16" s="55">
        <v>0.1482280775914763</v>
      </c>
      <c r="DO16" s="56">
        <v>8.708979379602387E-2</v>
      </c>
      <c r="DP16" s="62">
        <v>0.19802114884055963</v>
      </c>
      <c r="DQ16" s="63">
        <v>4.5956129885367195E-2</v>
      </c>
    </row>
    <row r="17" spans="1:121" ht="16.5" thickTop="1" thickBot="1">
      <c r="A17" s="50"/>
      <c r="B17" s="50"/>
      <c r="C17" s="57">
        <f t="shared" ref="C17:K17" si="17">C6</f>
        <v>4.1012853029683605E-2</v>
      </c>
      <c r="D17" s="58">
        <f t="shared" si="17"/>
        <v>2.3819115095645674E-2</v>
      </c>
      <c r="E17" s="59">
        <f t="shared" si="17"/>
        <v>1.672410737264194E-2</v>
      </c>
      <c r="F17" s="57">
        <f t="shared" si="17"/>
        <v>9.6089445451752423E-2</v>
      </c>
      <c r="G17" s="58">
        <f t="shared" si="17"/>
        <v>5.4491666754855755E-2</v>
      </c>
      <c r="H17" s="58">
        <f t="shared" si="17"/>
        <v>0.10587206303487502</v>
      </c>
      <c r="I17" s="59">
        <f t="shared" si="17"/>
        <v>0.13504257312358381</v>
      </c>
      <c r="J17" s="64">
        <f t="shared" si="17"/>
        <v>2.209446727376765E-2</v>
      </c>
      <c r="K17" s="65">
        <f t="shared" si="17"/>
        <v>0.12082712572755093</v>
      </c>
      <c r="M17" s="74">
        <f t="array" ref="M17:M20">MMULT(C18:E21,N4:N6)</f>
        <v>50.84180152078094</v>
      </c>
      <c r="O17">
        <f t="array" ref="O17:O20">MMULT(F18:I21,O4:O7)</f>
        <v>107.4943982079749</v>
      </c>
      <c r="Q17">
        <f t="array" ref="Q17:Q20">MMULT(J18:K21,M4:M5)</f>
        <v>62.044831094235384</v>
      </c>
      <c r="S17">
        <f>M17+O17+Q17</f>
        <v>220.38103082299122</v>
      </c>
      <c r="BC17" s="98"/>
      <c r="BF17" s="51">
        <f t="shared" ref="BF17:BF22" ca="1" si="18">RAND()*$BF$15</f>
        <v>6.5849961314469671E-2</v>
      </c>
      <c r="BG17" s="51">
        <f t="shared" ca="1" si="16"/>
        <v>8.1850631501847557E-2</v>
      </c>
      <c r="BH17" s="51">
        <f t="shared" ca="1" si="16"/>
        <v>0.11079130429607856</v>
      </c>
      <c r="BI17" s="51">
        <f t="shared" ca="1" si="16"/>
        <v>4.727934216474719E-2</v>
      </c>
      <c r="BJ17" s="51">
        <f t="shared" ca="1" si="16"/>
        <v>1.2108078666618383E-2</v>
      </c>
      <c r="BK17" s="51">
        <f t="shared" ca="1" si="16"/>
        <v>0.17536181209299531</v>
      </c>
      <c r="BL17" s="51">
        <f t="shared" ca="1" si="16"/>
        <v>9.9702083869245561E-2</v>
      </c>
      <c r="BM17" s="51">
        <f t="shared" ca="1" si="16"/>
        <v>0.13261900767041121</v>
      </c>
      <c r="BN17" s="51">
        <f t="shared" ca="1" si="16"/>
        <v>0.10080965613912621</v>
      </c>
      <c r="BS17" s="54">
        <v>2.8867066871971405E-2</v>
      </c>
      <c r="BT17" s="55">
        <v>0.14219615020436485</v>
      </c>
      <c r="BU17" s="56">
        <v>0.1668620525230706</v>
      </c>
      <c r="BV17" s="54">
        <v>0.17922010248984563</v>
      </c>
      <c r="BW17" s="55">
        <v>0.16954844138972264</v>
      </c>
      <c r="BX17" s="55">
        <v>0.15543557697320254</v>
      </c>
      <c r="BY17" s="56">
        <v>1.8678234368295854E-2</v>
      </c>
      <c r="BZ17" s="54">
        <v>0.16626113878106211</v>
      </c>
      <c r="CA17" s="56">
        <v>0.14561263271380831</v>
      </c>
      <c r="CH17" s="98"/>
      <c r="CJ17" s="80">
        <v>600</v>
      </c>
      <c r="CL17" s="57">
        <v>8.2734581419710018E-2</v>
      </c>
      <c r="CM17" s="58">
        <v>8.2974667497862073E-2</v>
      </c>
      <c r="CN17" s="59">
        <v>5.6940888147145423E-2</v>
      </c>
      <c r="CO17" s="57">
        <v>8.5204231420214549E-2</v>
      </c>
      <c r="CP17" s="58">
        <v>4.8609824505728483E-2</v>
      </c>
      <c r="CQ17" s="58">
        <v>3.9941453296429952E-2</v>
      </c>
      <c r="CR17" s="59">
        <v>4.5091218541373747E-2</v>
      </c>
      <c r="CS17" s="64">
        <v>6.6385371540993374E-2</v>
      </c>
      <c r="CT17" s="65">
        <v>8.5770298914825682E-3</v>
      </c>
      <c r="DF17" s="98"/>
      <c r="DI17" s="57">
        <v>4.1012853029683605E-2</v>
      </c>
      <c r="DJ17" s="58">
        <v>2.3819115095645674E-2</v>
      </c>
      <c r="DK17" s="59">
        <v>1.672410737264194E-2</v>
      </c>
      <c r="DL17" s="57">
        <v>9.6089445451752423E-2</v>
      </c>
      <c r="DM17" s="58">
        <v>5.4491666754855755E-2</v>
      </c>
      <c r="DN17" s="58">
        <v>0.10587206303487502</v>
      </c>
      <c r="DO17" s="59">
        <v>0.13504257312358381</v>
      </c>
      <c r="DP17" s="64">
        <v>2.209446727376765E-2</v>
      </c>
      <c r="DQ17" s="65">
        <v>0.12082712572755093</v>
      </c>
    </row>
    <row r="18" spans="1:121" ht="16.5" thickTop="1" thickBot="1">
      <c r="A18" s="50"/>
      <c r="B18" s="50"/>
      <c r="C18" s="51">
        <f>C7</f>
        <v>0.17548930585655378</v>
      </c>
      <c r="D18" s="52">
        <f t="shared" ref="D18:E18" si="19">D7</f>
        <v>1.2417273322108891E-2</v>
      </c>
      <c r="E18" s="53">
        <f t="shared" si="19"/>
        <v>9.6081899503785984E-2</v>
      </c>
      <c r="F18" s="51">
        <f>F7</f>
        <v>1.2753312843058319E-2</v>
      </c>
      <c r="G18" s="52">
        <f t="shared" ref="G18:I18" si="20">G7</f>
        <v>0.19808848386524611</v>
      </c>
      <c r="H18" s="52">
        <f t="shared" si="20"/>
        <v>0.15991485083123932</v>
      </c>
      <c r="I18" s="53">
        <f t="shared" si="20"/>
        <v>0.17466317588511751</v>
      </c>
      <c r="J18" s="60">
        <f>J7</f>
        <v>1.4023825723970164E-2</v>
      </c>
      <c r="K18" s="61">
        <f>K7</f>
        <v>9.8733443249068922E-2</v>
      </c>
      <c r="M18">
        <v>38.224577753102466</v>
      </c>
      <c r="O18">
        <v>115.4820253038362</v>
      </c>
      <c r="Q18">
        <v>33.34030070198871</v>
      </c>
      <c r="S18">
        <f t="shared" ref="S18:S20" si="21">M18+O18+Q18</f>
        <v>187.04690375892739</v>
      </c>
      <c r="BC18" s="98"/>
      <c r="BF18" s="51">
        <f t="shared" ca="1" si="18"/>
        <v>1.1444376312871363E-2</v>
      </c>
      <c r="BG18" s="51">
        <f t="shared" ca="1" si="16"/>
        <v>9.2891345726812347E-2</v>
      </c>
      <c r="BH18" s="51">
        <f t="shared" ca="1" si="16"/>
        <v>0.17415850593079868</v>
      </c>
      <c r="BI18" s="51">
        <f t="shared" ca="1" si="16"/>
        <v>9.6535771423561387E-2</v>
      </c>
      <c r="BJ18" s="51">
        <f t="shared" ca="1" si="16"/>
        <v>0.11031893178078729</v>
      </c>
      <c r="BK18" s="51">
        <f t="shared" ca="1" si="16"/>
        <v>0.15363423998664436</v>
      </c>
      <c r="BL18" s="51">
        <f t="shared" ca="1" si="16"/>
        <v>8.2031689300289312E-2</v>
      </c>
      <c r="BM18" s="51">
        <f t="shared" ca="1" si="16"/>
        <v>0.10668206374356548</v>
      </c>
      <c r="BN18" s="51">
        <f t="shared" ca="1" si="16"/>
        <v>0.18491222449155226</v>
      </c>
      <c r="BS18" s="57">
        <v>2.9494375853984248E-2</v>
      </c>
      <c r="BT18" s="58">
        <v>0.18254852059193494</v>
      </c>
      <c r="BU18" s="59">
        <v>0.17170578644850193</v>
      </c>
      <c r="BV18" s="57">
        <v>0.17342610272959266</v>
      </c>
      <c r="BW18" s="58">
        <v>3.4430995816942825E-2</v>
      </c>
      <c r="BX18" s="58">
        <v>0.14283594521166973</v>
      </c>
      <c r="BY18" s="59">
        <v>0.11543613742560491</v>
      </c>
      <c r="BZ18" s="57">
        <v>4.2811861833383216E-2</v>
      </c>
      <c r="CA18" s="59">
        <v>0.11831893182996388</v>
      </c>
      <c r="CH18" s="98"/>
      <c r="CL18" s="51">
        <v>6.5493178969874319E-2</v>
      </c>
      <c r="CM18" s="86">
        <v>6.7487759665990105E-2</v>
      </c>
      <c r="CN18" s="87">
        <v>8.0673513214881171E-2</v>
      </c>
      <c r="CO18" s="51">
        <v>4.4223591020130959E-2</v>
      </c>
      <c r="CP18" s="86">
        <v>5.324701725757866E-2</v>
      </c>
      <c r="CQ18" s="86">
        <v>9.5008121377618923E-2</v>
      </c>
      <c r="CR18" s="87">
        <v>6.883576936873341E-2</v>
      </c>
      <c r="CS18" s="60">
        <v>4.6791572486979408E-4</v>
      </c>
      <c r="CT18" s="61">
        <v>8.4714697273607694E-3</v>
      </c>
      <c r="DF18" s="98"/>
      <c r="DI18" s="51">
        <v>0.17548930585655378</v>
      </c>
      <c r="DJ18" s="86">
        <v>1.2417273322108891E-2</v>
      </c>
      <c r="DK18" s="87">
        <v>9.6081899503785984E-2</v>
      </c>
      <c r="DL18" s="51">
        <v>1.2753312843058319E-2</v>
      </c>
      <c r="DM18" s="86">
        <v>0.19808848386524611</v>
      </c>
      <c r="DN18" s="86">
        <v>0.15991485083123932</v>
      </c>
      <c r="DO18" s="87">
        <v>0.17466317588511751</v>
      </c>
      <c r="DP18" s="60">
        <v>1.4023825723970164E-2</v>
      </c>
      <c r="DQ18" s="61">
        <v>9.8733443249068922E-2</v>
      </c>
    </row>
    <row r="19" spans="1:121" ht="16.5" thickTop="1" thickBot="1">
      <c r="A19" s="50"/>
      <c r="B19" s="50"/>
      <c r="C19" s="54">
        <f t="shared" ref="C19:K19" si="22">C8</f>
        <v>5.317649694377509E-2</v>
      </c>
      <c r="D19" s="55">
        <f t="shared" si="22"/>
        <v>0.12510347939989583</v>
      </c>
      <c r="E19" s="56">
        <f t="shared" si="22"/>
        <v>8.1510989778442958E-3</v>
      </c>
      <c r="F19" s="54">
        <f t="shared" si="22"/>
        <v>0.15447284898455901</v>
      </c>
      <c r="G19" s="55">
        <f t="shared" si="22"/>
        <v>0.17737609184286229</v>
      </c>
      <c r="H19" s="55">
        <f t="shared" si="22"/>
        <v>3.5554048601772602E-2</v>
      </c>
      <c r="I19" s="56">
        <f t="shared" si="22"/>
        <v>0.19133380601138072</v>
      </c>
      <c r="J19" s="62">
        <f t="shared" si="22"/>
        <v>0.14220705095584024</v>
      </c>
      <c r="K19" s="63">
        <f t="shared" si="22"/>
        <v>8.1648175180344396E-3</v>
      </c>
      <c r="M19">
        <v>49.234532366572438</v>
      </c>
      <c r="O19">
        <v>84.093238330260334</v>
      </c>
      <c r="Q19">
        <v>51.637687950594838</v>
      </c>
      <c r="S19">
        <f t="shared" si="21"/>
        <v>184.96545864742762</v>
      </c>
      <c r="BC19" s="98"/>
      <c r="BF19" s="51">
        <f t="shared" ca="1" si="18"/>
        <v>0.15348667337076352</v>
      </c>
      <c r="BG19" s="51">
        <f t="shared" ca="1" si="16"/>
        <v>0.15193269784548746</v>
      </c>
      <c r="BH19" s="51">
        <f t="shared" ca="1" si="16"/>
        <v>5.2132584903753366E-2</v>
      </c>
      <c r="BI19" s="51">
        <f t="shared" ca="1" si="16"/>
        <v>0.10036947064021558</v>
      </c>
      <c r="BJ19" s="51">
        <f t="shared" ca="1" si="16"/>
        <v>0.19435390868422267</v>
      </c>
      <c r="BK19" s="51">
        <f t="shared" ca="1" si="16"/>
        <v>7.8747229346102909E-3</v>
      </c>
      <c r="BL19" s="51">
        <f t="shared" ca="1" si="16"/>
        <v>8.5467570260404635E-2</v>
      </c>
      <c r="BM19" s="51">
        <f t="shared" ca="1" si="16"/>
        <v>0.19992724896367498</v>
      </c>
      <c r="BN19" s="51">
        <f t="shared" ca="1" si="16"/>
        <v>0.16486055055327464</v>
      </c>
      <c r="CH19" s="98"/>
      <c r="CL19" s="54">
        <v>4.1513151955509114E-2</v>
      </c>
      <c r="CM19" s="55">
        <v>8.4805455347120612E-2</v>
      </c>
      <c r="CN19" s="56">
        <v>2.081655132990623E-2</v>
      </c>
      <c r="CO19" s="54">
        <v>1.8769119037065796E-2</v>
      </c>
      <c r="CP19" s="55">
        <v>5.9045372981945635E-2</v>
      </c>
      <c r="CQ19" s="55">
        <v>3.9106596935074837E-2</v>
      </c>
      <c r="CR19" s="56">
        <v>9.5347106348374844E-2</v>
      </c>
      <c r="CS19" s="62">
        <v>6.4176705980807755E-2</v>
      </c>
      <c r="CT19" s="63">
        <v>9.0303317583012896E-2</v>
      </c>
      <c r="DF19" s="98"/>
      <c r="DI19" s="54">
        <v>5.317649694377509E-2</v>
      </c>
      <c r="DJ19" s="55">
        <v>0.12510347939989583</v>
      </c>
      <c r="DK19" s="56">
        <v>8.1510989778442958E-3</v>
      </c>
      <c r="DL19" s="54">
        <v>0.15447284898455901</v>
      </c>
      <c r="DM19" s="55">
        <v>0.17737609184286229</v>
      </c>
      <c r="DN19" s="55">
        <v>3.5554048601772602E-2</v>
      </c>
      <c r="DO19" s="56">
        <v>0.19133380601138072</v>
      </c>
      <c r="DP19" s="62">
        <v>0.14220705095584024</v>
      </c>
      <c r="DQ19" s="63">
        <v>8.1648175180344396E-3</v>
      </c>
    </row>
    <row r="20" spans="1:121" ht="16.5" thickTop="1" thickBot="1">
      <c r="A20" s="50"/>
      <c r="B20" s="50"/>
      <c r="C20" s="54">
        <f t="shared" ref="C20:K20" si="23">C9</f>
        <v>0.15042088855815325</v>
      </c>
      <c r="D20" s="55">
        <f t="shared" si="23"/>
        <v>9.5907347236873275E-2</v>
      </c>
      <c r="E20" s="56">
        <f t="shared" si="23"/>
        <v>7.5421774240590272E-3</v>
      </c>
      <c r="F20" s="54">
        <f t="shared" si="23"/>
        <v>0.14148101939810065</v>
      </c>
      <c r="G20" s="55">
        <f t="shared" si="23"/>
        <v>3.7343529869431083E-2</v>
      </c>
      <c r="H20" s="55">
        <f t="shared" si="23"/>
        <v>4.0091862200240108E-2</v>
      </c>
      <c r="I20" s="56">
        <f t="shared" si="23"/>
        <v>0.17677297945184295</v>
      </c>
      <c r="J20" s="62">
        <f t="shared" si="23"/>
        <v>5.1449405024751376E-3</v>
      </c>
      <c r="K20" s="63">
        <f t="shared" si="23"/>
        <v>8.434783308349969E-2</v>
      </c>
      <c r="M20">
        <v>67.098475447348065</v>
      </c>
      <c r="O20">
        <v>91.908418406391263</v>
      </c>
      <c r="Q20">
        <v>58.859571006678529</v>
      </c>
      <c r="S20">
        <f t="shared" si="21"/>
        <v>217.86646486041784</v>
      </c>
      <c r="BC20" s="98"/>
      <c r="BF20" s="51">
        <f t="shared" ca="1" si="18"/>
        <v>0.16698712755152081</v>
      </c>
      <c r="BG20" s="51">
        <f t="shared" ca="1" si="16"/>
        <v>6.3575086098813391E-2</v>
      </c>
      <c r="BH20" s="51">
        <f t="shared" ca="1" si="16"/>
        <v>5.6790229791678651E-2</v>
      </c>
      <c r="BI20" s="51">
        <f t="shared" ca="1" si="16"/>
        <v>5.7739554392838247E-2</v>
      </c>
      <c r="BJ20" s="51">
        <f t="shared" ca="1" si="16"/>
        <v>0.19059972168089978</v>
      </c>
      <c r="BK20" s="51">
        <f t="shared" ca="1" si="16"/>
        <v>0.17390951951396103</v>
      </c>
      <c r="BL20" s="51">
        <f t="shared" ca="1" si="16"/>
        <v>4.0781141294781609E-2</v>
      </c>
      <c r="BM20" s="51">
        <f t="shared" ca="1" si="16"/>
        <v>0.15228390649306048</v>
      </c>
      <c r="BN20" s="51">
        <f t="shared" ca="1" si="16"/>
        <v>0.19509772661178426</v>
      </c>
      <c r="BS20" t="s">
        <v>18</v>
      </c>
      <c r="BT20">
        <v>0.71160599999999996</v>
      </c>
      <c r="CH20" s="98"/>
      <c r="CL20" s="54">
        <v>6.8712943939991167E-2</v>
      </c>
      <c r="CM20" s="55">
        <v>6.8355782389434336E-2</v>
      </c>
      <c r="CN20" s="56">
        <v>1.7055636667409148E-2</v>
      </c>
      <c r="CO20" s="54">
        <v>8.215772119423255E-2</v>
      </c>
      <c r="CP20" s="55">
        <v>1.6682420360552366E-2</v>
      </c>
      <c r="CQ20" s="55">
        <v>3.8882909623707995E-2</v>
      </c>
      <c r="CR20" s="56">
        <v>1.5439170460851859E-2</v>
      </c>
      <c r="CS20" s="62">
        <v>5.2960081489634186E-2</v>
      </c>
      <c r="CT20" s="63">
        <v>7.9272849124783218E-2</v>
      </c>
      <c r="DF20" s="98"/>
      <c r="DI20" s="54">
        <v>0.15042088855815325</v>
      </c>
      <c r="DJ20" s="55">
        <v>9.5907347236873275E-2</v>
      </c>
      <c r="DK20" s="56">
        <v>7.5421774240590272E-3</v>
      </c>
      <c r="DL20" s="54">
        <v>0.14148101939810065</v>
      </c>
      <c r="DM20" s="55">
        <v>3.7343529869431083E-2</v>
      </c>
      <c r="DN20" s="55">
        <v>4.0091862200240108E-2</v>
      </c>
      <c r="DO20" s="56">
        <v>0.17677297945184295</v>
      </c>
      <c r="DP20" s="62">
        <v>5.1449405024751376E-3</v>
      </c>
      <c r="DQ20" s="63">
        <v>8.434783308349969E-2</v>
      </c>
    </row>
    <row r="21" spans="1:121" ht="16.5" thickTop="1" thickBot="1">
      <c r="A21" s="50"/>
      <c r="B21" s="50"/>
      <c r="C21" s="57">
        <f t="shared" ref="C21:K21" si="24">C10</f>
        <v>1.976566521362191E-2</v>
      </c>
      <c r="D21" s="58">
        <f t="shared" si="24"/>
        <v>0.18954949610328475</v>
      </c>
      <c r="E21" s="59">
        <f t="shared" si="24"/>
        <v>0.12877302375241725</v>
      </c>
      <c r="F21" s="57">
        <f t="shared" si="24"/>
        <v>0.13212208489959992</v>
      </c>
      <c r="G21" s="58">
        <f t="shared" si="24"/>
        <v>1.7357037297897771E-2</v>
      </c>
      <c r="H21" s="58">
        <f t="shared" si="24"/>
        <v>0.13287249800910494</v>
      </c>
      <c r="I21" s="59">
        <f t="shared" si="24"/>
        <v>0.16050113331234456</v>
      </c>
      <c r="J21" s="64">
        <f t="shared" si="24"/>
        <v>0.16206002279655274</v>
      </c>
      <c r="K21" s="65">
        <f t="shared" si="24"/>
        <v>4.4079277412279974E-2</v>
      </c>
      <c r="AB21" s="30" t="s">
        <v>150</v>
      </c>
      <c r="BC21" s="98"/>
      <c r="BF21" s="51">
        <f t="shared" ca="1" si="18"/>
        <v>3.3936682703785429E-2</v>
      </c>
      <c r="BG21" s="51">
        <f t="shared" ca="1" si="16"/>
        <v>2.1925125665141421E-2</v>
      </c>
      <c r="BH21" s="51">
        <f t="shared" ca="1" si="16"/>
        <v>3.2122671563565852E-2</v>
      </c>
      <c r="BI21" s="51">
        <f t="shared" ca="1" si="16"/>
        <v>4.0420663872424892E-2</v>
      </c>
      <c r="BJ21" s="51">
        <f t="shared" ca="1" si="16"/>
        <v>5.7686310735558521E-3</v>
      </c>
      <c r="BK21" s="51">
        <f t="shared" ca="1" si="16"/>
        <v>9.6939910558574025E-2</v>
      </c>
      <c r="BL21" s="51">
        <f t="shared" ca="1" si="16"/>
        <v>3.1308737402643949E-2</v>
      </c>
      <c r="BM21" s="51">
        <f t="shared" ca="1" si="16"/>
        <v>0.11664285703141389</v>
      </c>
      <c r="BN21" s="51">
        <f t="shared" ca="1" si="16"/>
        <v>0.13752548057581895</v>
      </c>
      <c r="BS21" t="s">
        <v>16</v>
      </c>
      <c r="BT21">
        <v>0.407584</v>
      </c>
      <c r="CH21" s="98"/>
      <c r="CL21" s="57">
        <v>9.4793198453280075E-2</v>
      </c>
      <c r="CM21" s="58">
        <v>5.1550890082803051E-2</v>
      </c>
      <c r="CN21" s="59">
        <v>4.8611805625135965E-2</v>
      </c>
      <c r="CO21" s="57">
        <v>8.6279647401610593E-2</v>
      </c>
      <c r="CP21" s="58">
        <v>4.0272715852914726E-2</v>
      </c>
      <c r="CQ21" s="58">
        <v>3.5852426594493017E-2</v>
      </c>
      <c r="CR21" s="59">
        <v>7.2788583415963504E-2</v>
      </c>
      <c r="CS21" s="64">
        <v>6.2713811350599169E-2</v>
      </c>
      <c r="CT21" s="65">
        <v>9.4858396684328147E-2</v>
      </c>
      <c r="DF21" s="98"/>
      <c r="DI21" s="57">
        <v>1.976566521362191E-2</v>
      </c>
      <c r="DJ21" s="58">
        <v>0.18954949610328475</v>
      </c>
      <c r="DK21" s="59">
        <v>0.12877302375241725</v>
      </c>
      <c r="DL21" s="57">
        <v>0.13212208489959992</v>
      </c>
      <c r="DM21" s="58">
        <v>1.7357037297897771E-2</v>
      </c>
      <c r="DN21" s="58">
        <v>0.13287249800910494</v>
      </c>
      <c r="DO21" s="59">
        <v>0.16050113331234456</v>
      </c>
      <c r="DP21" s="64">
        <v>0.16206002279655274</v>
      </c>
      <c r="DQ21" s="65">
        <v>4.4079277412279974E-2</v>
      </c>
    </row>
    <row r="22" spans="1:121" ht="15.75" thickTop="1">
      <c r="C22" t="s">
        <v>57</v>
      </c>
      <c r="F22" t="s">
        <v>59</v>
      </c>
      <c r="J22" t="s">
        <v>62</v>
      </c>
      <c r="AB22" s="30" t="s">
        <v>151</v>
      </c>
      <c r="BC22" s="98"/>
      <c r="BF22" s="51">
        <f t="shared" ca="1" si="18"/>
        <v>5.5965072382774929E-3</v>
      </c>
      <c r="BG22" s="51">
        <f t="shared" ca="1" si="16"/>
        <v>0.15008817428709109</v>
      </c>
      <c r="BH22" s="51">
        <f t="shared" ca="1" si="16"/>
        <v>2.0466133789744491E-3</v>
      </c>
      <c r="BI22" s="51">
        <f t="shared" ca="1" si="16"/>
        <v>0.1451204827478117</v>
      </c>
      <c r="BJ22" s="51">
        <f t="shared" ca="1" si="16"/>
        <v>3.3323007766728897E-2</v>
      </c>
      <c r="BK22" s="51">
        <f t="shared" ca="1" si="16"/>
        <v>2.06143682084452E-2</v>
      </c>
      <c r="BL22" s="51">
        <f t="shared" ca="1" si="16"/>
        <v>0.19631770517499395</v>
      </c>
      <c r="BM22" s="51">
        <f t="shared" ca="1" si="16"/>
        <v>2.5860509565658954E-2</v>
      </c>
      <c r="BN22" s="51">
        <f t="shared" ca="1" si="16"/>
        <v>0.19341392708486876</v>
      </c>
      <c r="CH22" s="98"/>
      <c r="DF22" s="98"/>
    </row>
    <row r="23" spans="1:121">
      <c r="BC23" s="98"/>
      <c r="CH23" s="98"/>
      <c r="DF23" s="98"/>
    </row>
    <row r="24" spans="1:121" ht="15.75" thickBot="1">
      <c r="C24" s="30" t="s">
        <v>115</v>
      </c>
      <c r="R24" s="30" t="s">
        <v>116</v>
      </c>
      <c r="BC24" s="98"/>
      <c r="CH24" s="98"/>
      <c r="DF24" s="98"/>
    </row>
    <row r="25" spans="1:121" ht="15.75" thickTop="1">
      <c r="Z25" s="51"/>
      <c r="AA25" s="52"/>
      <c r="AB25" s="384" t="s">
        <v>89</v>
      </c>
      <c r="AC25" s="384"/>
      <c r="AD25" s="384"/>
      <c r="AE25" s="384" t="s">
        <v>92</v>
      </c>
      <c r="AF25" s="384"/>
      <c r="AG25" s="384"/>
      <c r="AH25" s="385"/>
      <c r="BC25" s="98"/>
      <c r="CH25" s="98"/>
      <c r="DF25" s="98"/>
    </row>
    <row r="26" spans="1:121" ht="15.75" thickBot="1">
      <c r="C26" t="s">
        <v>95</v>
      </c>
      <c r="R26" t="s">
        <v>117</v>
      </c>
      <c r="Z26" s="54"/>
      <c r="AA26" s="55"/>
      <c r="AB26" s="55">
        <v>1</v>
      </c>
      <c r="AC26" s="55">
        <v>2</v>
      </c>
      <c r="AD26" s="55">
        <v>3</v>
      </c>
      <c r="AE26" s="55">
        <v>1</v>
      </c>
      <c r="AF26" s="55">
        <v>2</v>
      </c>
      <c r="AG26" s="55">
        <v>3</v>
      </c>
      <c r="AH26" s="56">
        <v>4</v>
      </c>
      <c r="BC26" s="98"/>
      <c r="CH26" s="98"/>
      <c r="DF26" s="98"/>
    </row>
    <row r="27" spans="1:121" ht="15.75" thickTop="1">
      <c r="C27" s="1">
        <f>1-C15</f>
        <v>0.97834179678780819</v>
      </c>
      <c r="D27" s="2">
        <f>-D15</f>
        <v>-6.6149845323472706E-2</v>
      </c>
      <c r="E27" s="3">
        <f>-E15</f>
        <v>-5.7625807062618196E-2</v>
      </c>
      <c r="R27" t="s">
        <v>18</v>
      </c>
      <c r="S27">
        <f>T86</f>
        <v>0.60691899999999999</v>
      </c>
      <c r="Z27" s="386" t="s">
        <v>152</v>
      </c>
      <c r="AA27" s="55">
        <v>1</v>
      </c>
      <c r="AB27" s="55">
        <f>C15</f>
        <v>2.1658203212191831E-2</v>
      </c>
      <c r="AC27" s="55">
        <f t="shared" ref="AC27:AH27" si="25">D15</f>
        <v>6.6149845323472706E-2</v>
      </c>
      <c r="AD27" s="55">
        <f t="shared" si="25"/>
        <v>5.7625807062618196E-2</v>
      </c>
      <c r="AE27" s="55">
        <f t="shared" si="25"/>
        <v>8.8371227362829874E-2</v>
      </c>
      <c r="AF27" s="55">
        <f t="shared" si="25"/>
        <v>0.17383605769892549</v>
      </c>
      <c r="AG27" s="55">
        <f t="shared" si="25"/>
        <v>6.8945324507547314E-3</v>
      </c>
      <c r="AH27" s="56">
        <f t="shared" si="25"/>
        <v>0.10909928193602046</v>
      </c>
      <c r="BC27" s="98"/>
      <c r="CH27" s="98"/>
      <c r="DF27" s="98"/>
    </row>
    <row r="28" spans="1:121">
      <c r="C28" s="4">
        <f>-C16</f>
        <v>-0.18644963197557773</v>
      </c>
      <c r="D28" s="5">
        <f>1-D16</f>
        <v>0.9934138440520256</v>
      </c>
      <c r="E28" s="6">
        <f>-E16</f>
        <v>-0.1663025028816171</v>
      </c>
      <c r="Z28" s="386"/>
      <c r="AA28" s="55">
        <v>2</v>
      </c>
      <c r="AB28" s="55">
        <f t="shared" ref="AB28:AB32" si="26">C16</f>
        <v>0.18644963197557773</v>
      </c>
      <c r="AC28" s="55">
        <f t="shared" ref="AC28:AC32" si="27">D16</f>
        <v>6.5861559479744262E-3</v>
      </c>
      <c r="AD28" s="55">
        <f t="shared" ref="AD28:AD32" si="28">E16</f>
        <v>0.1663025028816171</v>
      </c>
      <c r="AE28" s="55">
        <f t="shared" ref="AE28:AE32" si="29">F16</f>
        <v>7.5616545903622531E-2</v>
      </c>
      <c r="AF28" s="55">
        <f t="shared" ref="AF28:AF32" si="30">G16</f>
        <v>0.12827006393936258</v>
      </c>
      <c r="AG28" s="55">
        <f t="shared" ref="AG28:AG32" si="31">H16</f>
        <v>0.1482280775914763</v>
      </c>
      <c r="AH28" s="56">
        <f t="shared" ref="AH28:AH32" si="32">I16</f>
        <v>8.708979379602387E-2</v>
      </c>
      <c r="BC28" s="98"/>
      <c r="CH28" s="98"/>
      <c r="DF28" s="98"/>
    </row>
    <row r="29" spans="1:121" ht="15.75" thickBot="1">
      <c r="C29" s="7">
        <f>-C17</f>
        <v>-4.1012853029683605E-2</v>
      </c>
      <c r="D29" s="8">
        <f>-D17</f>
        <v>-2.3819115095645674E-2</v>
      </c>
      <c r="E29" s="9">
        <f>1-E17</f>
        <v>0.98327589262735804</v>
      </c>
      <c r="R29" t="s">
        <v>119</v>
      </c>
      <c r="Z29" s="386"/>
      <c r="AA29" s="55">
        <v>3</v>
      </c>
      <c r="AB29" s="55">
        <f t="shared" si="26"/>
        <v>4.1012853029683605E-2</v>
      </c>
      <c r="AC29" s="55">
        <f t="shared" si="27"/>
        <v>2.3819115095645674E-2</v>
      </c>
      <c r="AD29" s="55">
        <f t="shared" si="28"/>
        <v>1.672410737264194E-2</v>
      </c>
      <c r="AE29" s="55">
        <f t="shared" si="29"/>
        <v>9.6089445451752423E-2</v>
      </c>
      <c r="AF29" s="55">
        <f t="shared" si="30"/>
        <v>5.4491666754855755E-2</v>
      </c>
      <c r="AG29" s="55">
        <f t="shared" si="31"/>
        <v>0.10587206303487502</v>
      </c>
      <c r="AH29" s="56">
        <f t="shared" si="32"/>
        <v>0.13504257312358381</v>
      </c>
      <c r="BC29" s="98"/>
      <c r="CH29" s="98"/>
      <c r="DF29" s="98"/>
    </row>
    <row r="30" spans="1:121" ht="15.75" thickTop="1">
      <c r="R30" s="1">
        <f t="array" ref="R30:T32">MMULT(C37:F39,C18:E21)</f>
        <v>3.4950121164573397E-2</v>
      </c>
      <c r="S30" s="2">
        <v>5.246812604265641E-2</v>
      </c>
      <c r="T30" s="3">
        <v>2.8432550295829764E-2</v>
      </c>
      <c r="Z30" s="386" t="s">
        <v>92</v>
      </c>
      <c r="AA30" s="55">
        <v>1</v>
      </c>
      <c r="AB30" s="55">
        <f t="shared" si="26"/>
        <v>0.17548930585655378</v>
      </c>
      <c r="AC30" s="55">
        <f t="shared" si="27"/>
        <v>1.2417273322108891E-2</v>
      </c>
      <c r="AD30" s="55">
        <f t="shared" si="28"/>
        <v>9.6081899503785984E-2</v>
      </c>
      <c r="AE30" s="55">
        <f t="shared" si="29"/>
        <v>1.2753312843058319E-2</v>
      </c>
      <c r="AF30" s="55">
        <f t="shared" si="30"/>
        <v>0.19808848386524611</v>
      </c>
      <c r="AG30" s="55">
        <f t="shared" si="31"/>
        <v>0.15991485083123932</v>
      </c>
      <c r="AH30" s="56">
        <f t="shared" si="32"/>
        <v>0.17466317588511751</v>
      </c>
      <c r="BC30" s="98"/>
      <c r="CH30" s="98"/>
      <c r="DF30" s="98"/>
    </row>
    <row r="31" spans="1:121" ht="15.75" thickBot="1">
      <c r="C31" t="s">
        <v>96</v>
      </c>
      <c r="R31" s="4">
        <v>5.7970049219828991E-2</v>
      </c>
      <c r="S31" s="5">
        <v>6.5958124392593687E-2</v>
      </c>
      <c r="T31" s="6">
        <v>3.1186026882356756E-2</v>
      </c>
      <c r="Z31" s="386"/>
      <c r="AA31" s="55">
        <v>2</v>
      </c>
      <c r="AB31" s="55">
        <f t="shared" si="26"/>
        <v>5.317649694377509E-2</v>
      </c>
      <c r="AC31" s="55">
        <f t="shared" si="27"/>
        <v>0.12510347939989583</v>
      </c>
      <c r="AD31" s="55">
        <f t="shared" si="28"/>
        <v>8.1510989778442958E-3</v>
      </c>
      <c r="AE31" s="55">
        <f t="shared" si="29"/>
        <v>0.15447284898455901</v>
      </c>
      <c r="AF31" s="55">
        <f t="shared" si="30"/>
        <v>0.17737609184286229</v>
      </c>
      <c r="AG31" s="55">
        <f t="shared" si="31"/>
        <v>3.5554048601772602E-2</v>
      </c>
      <c r="AH31" s="56">
        <f t="shared" si="32"/>
        <v>0.19133380601138072</v>
      </c>
      <c r="BC31" s="98"/>
      <c r="CH31" s="98"/>
      <c r="DF31" s="98"/>
    </row>
    <row r="32" spans="1:121" ht="16.5" thickTop="1" thickBot="1">
      <c r="C32" s="1">
        <f t="array" ref="C32:E34">MINVERSE(C27:E29)</f>
        <v>1.0387067452263479</v>
      </c>
      <c r="D32" s="2">
        <v>7.0912985153062325E-2</v>
      </c>
      <c r="E32" s="3">
        <v>7.2867973220989493E-2</v>
      </c>
      <c r="R32" s="7">
        <v>4.1869349064799513E-2</v>
      </c>
      <c r="S32" s="8">
        <v>4.8291998686922619E-2</v>
      </c>
      <c r="T32" s="9">
        <v>3.0280304402886191E-2</v>
      </c>
      <c r="Z32" s="386"/>
      <c r="AA32" s="55">
        <v>3</v>
      </c>
      <c r="AB32" s="55">
        <f t="shared" si="26"/>
        <v>0.15042088855815325</v>
      </c>
      <c r="AC32" s="55">
        <f t="shared" si="27"/>
        <v>9.5907347236873275E-2</v>
      </c>
      <c r="AD32" s="55">
        <f t="shared" si="28"/>
        <v>7.5421774240590272E-3</v>
      </c>
      <c r="AE32" s="55">
        <f t="shared" si="29"/>
        <v>0.14148101939810065</v>
      </c>
      <c r="AF32" s="55">
        <f t="shared" si="30"/>
        <v>3.7343529869431083E-2</v>
      </c>
      <c r="AG32" s="55">
        <f t="shared" si="31"/>
        <v>4.0091862200240108E-2</v>
      </c>
      <c r="AH32" s="56">
        <f t="shared" si="32"/>
        <v>0.17677297945184295</v>
      </c>
      <c r="BC32" s="98"/>
      <c r="CH32" s="98"/>
      <c r="DF32" s="98"/>
    </row>
    <row r="33" spans="3:110" ht="16.5" thickTop="1" thickBot="1">
      <c r="C33" s="4">
        <v>0.20302659735676851</v>
      </c>
      <c r="D33" s="5">
        <v>1.0245893079667658</v>
      </c>
      <c r="E33" s="6">
        <v>0.18518844938008375</v>
      </c>
      <c r="Z33" s="387"/>
      <c r="AA33" s="58">
        <v>4</v>
      </c>
      <c r="AB33" s="58">
        <f t="shared" ref="AB33" si="33">C21</f>
        <v>1.976566521362191E-2</v>
      </c>
      <c r="AC33" s="58">
        <f t="shared" ref="AC33" si="34">D21</f>
        <v>0.18954949610328475</v>
      </c>
      <c r="AD33" s="58">
        <f t="shared" ref="AD33" si="35">E21</f>
        <v>0.12877302375241725</v>
      </c>
      <c r="AE33" s="58">
        <f t="shared" ref="AE33" si="36">F21</f>
        <v>0.13212208489959992</v>
      </c>
      <c r="AF33" s="58">
        <f t="shared" ref="AF33" si="37">G21</f>
        <v>1.7357037297897771E-2</v>
      </c>
      <c r="AG33" s="58">
        <f t="shared" ref="AG33" si="38">H21</f>
        <v>0.13287249800910494</v>
      </c>
      <c r="AH33" s="59">
        <f t="shared" ref="AH33" si="39">I21</f>
        <v>0.16050113331234456</v>
      </c>
      <c r="BC33" s="98"/>
      <c r="CH33" s="98"/>
      <c r="DF33" s="98"/>
    </row>
    <row r="34" spans="3:110" ht="16.5" thickTop="1" thickBot="1">
      <c r="C34" s="7">
        <v>4.824306314077894E-2</v>
      </c>
      <c r="D34" s="8">
        <v>2.777771192704118E-2</v>
      </c>
      <c r="E34" s="9">
        <v>1.0245339644955946</v>
      </c>
      <c r="R34" t="s">
        <v>118</v>
      </c>
      <c r="BC34" s="98"/>
      <c r="CH34" s="98"/>
      <c r="DF34" s="98"/>
    </row>
    <row r="35" spans="3:110" ht="15.75" thickTop="1">
      <c r="R35" s="1">
        <f>1/(1+$S$27)</f>
        <v>0.62230890293785812</v>
      </c>
      <c r="S35" s="2">
        <v>0</v>
      </c>
      <c r="T35" s="3">
        <v>0</v>
      </c>
      <c r="AA35" t="s">
        <v>16</v>
      </c>
      <c r="AB35">
        <v>0.42242550000000001</v>
      </c>
      <c r="BC35" s="98"/>
      <c r="CH35" s="98"/>
      <c r="DF35" s="98"/>
    </row>
    <row r="36" spans="3:110" ht="15.75" thickBot="1">
      <c r="C36" t="s">
        <v>97</v>
      </c>
      <c r="H36" t="s">
        <v>101</v>
      </c>
      <c r="R36" s="4">
        <v>0</v>
      </c>
      <c r="S36" s="5">
        <f>1/(1+$S$27)</f>
        <v>0.62230890293785812</v>
      </c>
      <c r="T36" s="6">
        <v>0</v>
      </c>
      <c r="AA36" t="s">
        <v>65</v>
      </c>
      <c r="AB36">
        <f>1/(1+AB35)</f>
        <v>0.70302451692549095</v>
      </c>
      <c r="BC36" s="98"/>
      <c r="CH36" s="98"/>
      <c r="DF36" s="98"/>
    </row>
    <row r="37" spans="3:110" ht="16.5" thickTop="1" thickBot="1">
      <c r="C37" s="51">
        <f t="array" ref="C37:F39">MMULT(C32:E34,F15:I17)</f>
        <v>0.10415582808069006</v>
      </c>
      <c r="D37" s="52">
        <v>0.19363139614900476</v>
      </c>
      <c r="E37" s="52">
        <v>2.5387375481368393E-2</v>
      </c>
      <c r="F37" s="53">
        <v>0.12933823590279903</v>
      </c>
      <c r="H37" s="60">
        <f t="array" ref="H37:I39">MMULT(C32:E34,J15:K17)</f>
        <v>0.21321230789814996</v>
      </c>
      <c r="I37" s="61">
        <v>7.5053934253609789E-2</v>
      </c>
      <c r="R37" s="7">
        <v>0</v>
      </c>
      <c r="S37" s="8">
        <v>0</v>
      </c>
      <c r="T37" s="9">
        <f>1/(1+$S$27)</f>
        <v>0.62230890293785812</v>
      </c>
      <c r="AJ37" s="30" t="s">
        <v>155</v>
      </c>
      <c r="BC37" s="98"/>
      <c r="CH37" s="98"/>
      <c r="DF37" s="98"/>
    </row>
    <row r="38" spans="3:110" ht="16.5" thickTop="1" thickBot="1">
      <c r="C38" s="54">
        <v>0.11321226943894867</v>
      </c>
      <c r="D38" s="55">
        <v>0.17680870660748002</v>
      </c>
      <c r="E38" s="55">
        <v>0.17287896009063633</v>
      </c>
      <c r="F38" s="56">
        <v>0.13638965225902649</v>
      </c>
      <c r="H38" s="62">
        <v>0.24559726674735899</v>
      </c>
      <c r="I38" s="63">
        <v>8.177415322886239E-2</v>
      </c>
      <c r="AB38" t="s">
        <v>153</v>
      </c>
      <c r="AK38">
        <v>1</v>
      </c>
      <c r="AL38">
        <v>2</v>
      </c>
      <c r="AM38">
        <v>3</v>
      </c>
      <c r="AN38">
        <v>1</v>
      </c>
      <c r="AO38">
        <v>2</v>
      </c>
      <c r="AP38">
        <v>3</v>
      </c>
      <c r="AQ38">
        <v>4</v>
      </c>
      <c r="BC38" s="98"/>
      <c r="CH38" s="98"/>
      <c r="DF38" s="98"/>
    </row>
    <row r="39" spans="3:110" ht="16.5" thickTop="1" thickBot="1">
      <c r="C39" s="57">
        <v>0.10481065382538894</v>
      </c>
      <c r="D39" s="58">
        <v>6.7777996165009277E-2</v>
      </c>
      <c r="E39" s="58">
        <v>0.11291957467363105</v>
      </c>
      <c r="F39" s="59">
        <v>0.146038141568896</v>
      </c>
      <c r="H39" s="64">
        <v>3.7312845927210986E-2</v>
      </c>
      <c r="I39" s="65">
        <v>0.12799366954244737</v>
      </c>
      <c r="R39" t="s">
        <v>120</v>
      </c>
      <c r="AB39" s="1">
        <f>AB27-$AB$36</f>
        <v>-0.68136631371329914</v>
      </c>
      <c r="AC39" s="2">
        <f>AC27</f>
        <v>6.6149845323472706E-2</v>
      </c>
      <c r="AD39" s="2">
        <f t="shared" ref="AD39:AH44" si="40">AD27</f>
        <v>5.7625807062618196E-2</v>
      </c>
      <c r="AE39" s="2">
        <f t="shared" si="40"/>
        <v>8.8371227362829874E-2</v>
      </c>
      <c r="AF39" s="2">
        <f t="shared" si="40"/>
        <v>0.17383605769892549</v>
      </c>
      <c r="AG39" s="2">
        <f t="shared" si="40"/>
        <v>6.8945324507547314E-3</v>
      </c>
      <c r="AH39" s="3">
        <f t="shared" si="40"/>
        <v>0.10909928193602046</v>
      </c>
      <c r="AJ39" t="s">
        <v>156</v>
      </c>
      <c r="AK39">
        <v>1</v>
      </c>
      <c r="AL39">
        <v>1</v>
      </c>
      <c r="AM39">
        <v>1</v>
      </c>
      <c r="AN39">
        <v>1</v>
      </c>
      <c r="AO39">
        <v>1</v>
      </c>
      <c r="AP39">
        <v>1</v>
      </c>
      <c r="AQ39">
        <v>1</v>
      </c>
      <c r="BC39" s="98"/>
      <c r="CH39" s="98"/>
      <c r="DF39" s="98"/>
    </row>
    <row r="40" spans="3:110" ht="15.75" thickTop="1">
      <c r="R40" s="1">
        <f>R35-R30</f>
        <v>0.58735878177328471</v>
      </c>
      <c r="S40" s="2">
        <f t="shared" ref="S40:T40" si="41">S35-S30</f>
        <v>-5.246812604265641E-2</v>
      </c>
      <c r="T40" s="3">
        <f t="shared" si="41"/>
        <v>-2.8432550295829764E-2</v>
      </c>
      <c r="AB40" s="4">
        <f>AB28</f>
        <v>0.18644963197557773</v>
      </c>
      <c r="AC40" s="5">
        <f>AC28-$AB$36</f>
        <v>-0.69643836097751655</v>
      </c>
      <c r="AD40" s="5">
        <f t="shared" si="40"/>
        <v>0.1663025028816171</v>
      </c>
      <c r="AE40" s="5">
        <f t="shared" si="40"/>
        <v>7.5616545903622531E-2</v>
      </c>
      <c r="AF40" s="5">
        <f t="shared" si="40"/>
        <v>0.12827006393936258</v>
      </c>
      <c r="AG40" s="5">
        <f t="shared" si="40"/>
        <v>0.1482280775914763</v>
      </c>
      <c r="AH40" s="6">
        <f t="shared" si="40"/>
        <v>8.708979379602387E-2</v>
      </c>
      <c r="BC40" s="98"/>
      <c r="CH40" s="98"/>
      <c r="DF40" s="98"/>
    </row>
    <row r="41" spans="3:110" ht="15.75" thickBot="1">
      <c r="C41" t="s">
        <v>98</v>
      </c>
      <c r="H41" t="s">
        <v>102</v>
      </c>
      <c r="R41" s="4">
        <f t="shared" ref="R41:T41" si="42">R36-R31</f>
        <v>-5.7970049219828991E-2</v>
      </c>
      <c r="S41" s="5">
        <f t="shared" si="42"/>
        <v>0.55635077854526438</v>
      </c>
      <c r="T41" s="6">
        <f t="shared" si="42"/>
        <v>-3.1186026882356756E-2</v>
      </c>
      <c r="AB41" s="4">
        <f t="shared" ref="AB41:AC45" si="43">AB29</f>
        <v>4.1012853029683605E-2</v>
      </c>
      <c r="AC41" s="5">
        <f t="shared" si="43"/>
        <v>2.3819115095645674E-2</v>
      </c>
      <c r="AD41" s="5">
        <f>AD29-$AB$36</f>
        <v>-0.68630040955284899</v>
      </c>
      <c r="AE41" s="5">
        <f t="shared" si="40"/>
        <v>9.6089445451752423E-2</v>
      </c>
      <c r="AF41" s="5">
        <f t="shared" si="40"/>
        <v>5.4491666754855755E-2</v>
      </c>
      <c r="AG41" s="5">
        <f t="shared" si="40"/>
        <v>0.10587206303487502</v>
      </c>
      <c r="AH41" s="6">
        <f t="shared" si="40"/>
        <v>0.13504257312358381</v>
      </c>
      <c r="AJ41" t="s">
        <v>156</v>
      </c>
      <c r="AK41">
        <f t="array" ref="AK41:AQ41">MMULT(AK39:AQ39,AB$27:AH$33)/$AB$36</f>
        <v>0.92169338222130837</v>
      </c>
      <c r="AL41">
        <v>0.73899657824354015</v>
      </c>
      <c r="AM41">
        <v>0.68447202820094988</v>
      </c>
      <c r="AN41">
        <v>0.99698725715679026</v>
      </c>
      <c r="AO41">
        <v>1.1191116558911771</v>
      </c>
      <c r="AP41">
        <v>0.89531434191244852</v>
      </c>
      <c r="AQ41">
        <v>1.4715030821975645</v>
      </c>
      <c r="BC41" s="98"/>
      <c r="DF41" s="98"/>
    </row>
    <row r="42" spans="3:110" ht="16.5" thickTop="1" thickBot="1">
      <c r="C42" s="51">
        <f t="array" ref="C42:F45">MMULT(C18:E21,C37:F39)</f>
        <v>2.9754428371611637E-2</v>
      </c>
      <c r="D42" s="52">
        <v>4.2687959953992285E-2</v>
      </c>
      <c r="E42" s="52">
        <v>1.7451425425634493E-2</v>
      </c>
      <c r="F42" s="53">
        <v>3.8422686871643463E-2</v>
      </c>
      <c r="H42" s="60">
        <f t="array" ref="H42:I45">MMULT(C18:E21,H37:I39)</f>
        <v>4.4051217414063537E-2</v>
      </c>
      <c r="I42" s="61">
        <v>2.6484449729394427E-2</v>
      </c>
      <c r="R42" s="7">
        <f t="shared" ref="R42:T42" si="44">R37-R32</f>
        <v>-4.1869349064799513E-2</v>
      </c>
      <c r="S42" s="8">
        <f t="shared" si="44"/>
        <v>-4.8291998686922619E-2</v>
      </c>
      <c r="T42" s="9">
        <f t="shared" si="44"/>
        <v>0.59202859853497192</v>
      </c>
      <c r="AB42" s="4">
        <f t="shared" si="43"/>
        <v>0.17548930585655378</v>
      </c>
      <c r="AC42" s="5">
        <f t="shared" si="43"/>
        <v>1.2417273322108891E-2</v>
      </c>
      <c r="AD42" s="5">
        <f t="shared" ref="AD42" si="45">AD30</f>
        <v>9.6081899503785984E-2</v>
      </c>
      <c r="AE42" s="5">
        <f>AE30-$AB$36</f>
        <v>-0.69027120408243259</v>
      </c>
      <c r="AF42" s="5">
        <f t="shared" si="40"/>
        <v>0.19808848386524611</v>
      </c>
      <c r="AG42" s="5">
        <f t="shared" si="40"/>
        <v>0.15991485083123932</v>
      </c>
      <c r="AH42" s="6">
        <f t="shared" si="40"/>
        <v>0.17466317588511751</v>
      </c>
      <c r="AK42">
        <f>AK41/$AK41</f>
        <v>1</v>
      </c>
      <c r="AL42">
        <f t="shared" ref="AL42:AP42" si="46">AL41/$AK41</f>
        <v>0.80178136514611453</v>
      </c>
      <c r="AM42">
        <f t="shared" si="46"/>
        <v>0.7426244360693488</v>
      </c>
      <c r="AN42">
        <f t="shared" si="46"/>
        <v>1.0816908056278125</v>
      </c>
      <c r="AO42">
        <f t="shared" si="46"/>
        <v>1.2141908333919951</v>
      </c>
      <c r="AP42">
        <f t="shared" si="46"/>
        <v>0.97137980936210522</v>
      </c>
      <c r="AQ42">
        <f>AQ41/$AK41</f>
        <v>1.5965212624736422</v>
      </c>
      <c r="BC42" s="98"/>
      <c r="DF42" s="98"/>
    </row>
    <row r="43" spans="3:110" ht="15.75" thickTop="1">
      <c r="C43" s="54">
        <v>2.0556212904443469E-2</v>
      </c>
      <c r="D43" s="55">
        <v>3.2968488885588502E-2</v>
      </c>
      <c r="E43" s="55">
        <v>2.3898189746770639E-2</v>
      </c>
      <c r="F43" s="56">
        <v>2.5130945704413037E-2</v>
      </c>
      <c r="H43" s="62">
        <v>4.2367096940817903E-2</v>
      </c>
      <c r="I43" s="63">
        <v>1.526462546834427E-2</v>
      </c>
      <c r="AB43" s="4">
        <f t="shared" si="43"/>
        <v>5.317649694377509E-2</v>
      </c>
      <c r="AC43" s="5">
        <f t="shared" si="43"/>
        <v>0.12510347939989583</v>
      </c>
      <c r="AD43" s="5">
        <f t="shared" ref="AD43:AE43" si="47">AD31</f>
        <v>8.1510989778442958E-3</v>
      </c>
      <c r="AE43" s="5">
        <f t="shared" si="47"/>
        <v>0.15447284898455901</v>
      </c>
      <c r="AF43" s="5">
        <f>AF31-$AB$36</f>
        <v>-0.52564842508262866</v>
      </c>
      <c r="AG43" s="5">
        <f t="shared" si="40"/>
        <v>3.5554048601772602E-2</v>
      </c>
      <c r="AH43" s="6">
        <f t="shared" si="40"/>
        <v>0.19133380601138072</v>
      </c>
      <c r="BC43" s="98"/>
      <c r="DF43" s="98"/>
    </row>
    <row r="44" spans="3:110" ht="15.75" thickBot="1">
      <c r="C44" s="54">
        <v>2.7315601192046072E-2</v>
      </c>
      <c r="D44" s="55">
        <v>4.6594654353118797E-2</v>
      </c>
      <c r="E44" s="55">
        <v>2.1250813500266932E-2</v>
      </c>
      <c r="F44" s="56">
        <v>3.3637387682158383E-2</v>
      </c>
      <c r="H44" s="62">
        <v>5.5907587252119827E-2</v>
      </c>
      <c r="I44" s="63">
        <v>2.0097772553780507E-2</v>
      </c>
      <c r="R44" t="s">
        <v>121</v>
      </c>
      <c r="AB44" s="4">
        <f t="shared" si="43"/>
        <v>0.15042088855815325</v>
      </c>
      <c r="AC44" s="5">
        <f t="shared" si="43"/>
        <v>9.5907347236873275E-2</v>
      </c>
      <c r="AD44" s="5">
        <f t="shared" ref="AD44:AE44" si="48">AD32</f>
        <v>7.5421774240590272E-3</v>
      </c>
      <c r="AE44" s="5">
        <f t="shared" si="48"/>
        <v>0.14148101939810065</v>
      </c>
      <c r="AF44" s="5">
        <f t="shared" ref="AF44" si="49">AF32</f>
        <v>3.7343529869431083E-2</v>
      </c>
      <c r="AG44" s="5">
        <f>AG32-$AB$36</f>
        <v>-0.66293265472525087</v>
      </c>
      <c r="AH44" s="6">
        <f t="shared" si="40"/>
        <v>0.17677297945184295</v>
      </c>
      <c r="AJ44" t="s">
        <v>156</v>
      </c>
      <c r="AK44">
        <f t="array" ref="AK44:AQ44">MMULT(AK42:AQ42,AB$27:AH$33)/$AB$36</f>
        <v>0.90134963698959392</v>
      </c>
      <c r="AL44">
        <v>0.92490738727213151</v>
      </c>
      <c r="AM44">
        <v>0.75406598085454579</v>
      </c>
      <c r="AN44">
        <v>1.0953810263945336</v>
      </c>
      <c r="AO44">
        <v>1.1532627596161731</v>
      </c>
      <c r="AP44">
        <v>0.95528708494996528</v>
      </c>
      <c r="AQ44">
        <v>1.6050886179908601</v>
      </c>
      <c r="BC44" s="98"/>
      <c r="DF44" s="98"/>
    </row>
    <row r="45" spans="3:110" ht="16.5" thickTop="1" thickBot="1">
      <c r="C45" s="57">
        <v>3.7014822667315699E-2</v>
      </c>
      <c r="D45" s="58">
        <v>4.6069232105296759E-2</v>
      </c>
      <c r="E45" s="58">
        <v>4.7811913208017587E-2</v>
      </c>
      <c r="F45" s="59">
        <v>4.7214819202586203E-2</v>
      </c>
      <c r="H45" s="64">
        <v>5.5572009248499442E-2</v>
      </c>
      <c r="I45" s="65">
        <v>3.3465872324374327E-2</v>
      </c>
      <c r="R45" s="1">
        <f t="array" ref="R45:T47">MINVERSE(R40:T42)</f>
        <v>1.7259385921845383</v>
      </c>
      <c r="S45" s="2">
        <v>0.17074480240327303</v>
      </c>
      <c r="T45" s="3">
        <v>9.1883547453929834E-2</v>
      </c>
      <c r="AB45" s="7">
        <f t="shared" si="43"/>
        <v>1.976566521362191E-2</v>
      </c>
      <c r="AC45" s="8">
        <f t="shared" si="43"/>
        <v>0.18954949610328475</v>
      </c>
      <c r="AD45" s="8">
        <f t="shared" ref="AD45:AE45" si="50">AD33</f>
        <v>0.12877302375241725</v>
      </c>
      <c r="AE45" s="8">
        <f t="shared" si="50"/>
        <v>0.13212208489959992</v>
      </c>
      <c r="AF45" s="8">
        <f t="shared" ref="AF45:AG45" si="51">AF33</f>
        <v>1.7357037297897771E-2</v>
      </c>
      <c r="AG45" s="8">
        <f t="shared" si="51"/>
        <v>0.13287249800910494</v>
      </c>
      <c r="AH45" s="9">
        <f>AH33-$AB$36</f>
        <v>-0.54252338361314645</v>
      </c>
      <c r="AK45">
        <f>AK44/$AK44</f>
        <v>1</v>
      </c>
      <c r="AL45">
        <f t="shared" ref="AL45" si="52">AL44/$AK44</f>
        <v>1.0261360845068046</v>
      </c>
      <c r="AM45">
        <f t="shared" ref="AM45" si="53">AM44/$AK44</f>
        <v>0.83659653247661037</v>
      </c>
      <c r="AN45">
        <f t="shared" ref="AN45" si="54">AN44/$AK44</f>
        <v>1.215267618072142</v>
      </c>
      <c r="AO45">
        <f t="shared" ref="AO45" si="55">AO44/$AK44</f>
        <v>1.2794843557800062</v>
      </c>
      <c r="AP45">
        <f t="shared" ref="AP45" si="56">AP44/$AK44</f>
        <v>1.0598407607291176</v>
      </c>
      <c r="AQ45">
        <f>AQ44/$AK44</f>
        <v>1.7807613739676813</v>
      </c>
      <c r="BC45" s="98"/>
      <c r="DF45" s="98"/>
    </row>
    <row r="46" spans="3:110" ht="15.75" thickTop="1">
      <c r="R46" s="4">
        <v>0.18753712811075085</v>
      </c>
      <c r="S46" s="5">
        <v>1.8242362581311258</v>
      </c>
      <c r="T46" s="6">
        <v>0.10510107107522779</v>
      </c>
      <c r="BC46" s="98"/>
      <c r="DF46" s="98"/>
    </row>
    <row r="47" spans="3:110" ht="15.75" thickBot="1">
      <c r="C47" t="s">
        <v>99</v>
      </c>
      <c r="H47" t="s">
        <v>103</v>
      </c>
      <c r="R47" s="7">
        <v>0.13735902003094363</v>
      </c>
      <c r="S47" s="8">
        <v>0.16087903346362004</v>
      </c>
      <c r="T47" s="9">
        <v>1.7041788987976083</v>
      </c>
      <c r="AJ47" t="s">
        <v>156</v>
      </c>
      <c r="AK47">
        <f t="array" ref="AK47:AQ47">MMULT(AK45:AQ45,AB$27:AH$33)/$AB$36</f>
        <v>1.0287225843590173</v>
      </c>
      <c r="AL47">
        <v>1.0059141631048352</v>
      </c>
      <c r="AM47">
        <v>0.86308241090067661</v>
      </c>
      <c r="AN47">
        <v>1.2015537277728945</v>
      </c>
      <c r="AO47">
        <v>1.2648399994104991</v>
      </c>
      <c r="AP47">
        <v>1.0902952666044998</v>
      </c>
      <c r="AQ47">
        <v>1.7661943807165539</v>
      </c>
      <c r="BC47" s="98"/>
      <c r="DF47" s="98"/>
    </row>
    <row r="48" spans="3:110" ht="15.75" thickTop="1">
      <c r="C48" s="51">
        <f>1-F18-C42</f>
        <v>0.95749225878532995</v>
      </c>
      <c r="D48" s="52">
        <f>-D42-G18</f>
        <v>-0.24077644381923841</v>
      </c>
      <c r="E48" s="52">
        <f t="shared" ref="E48:F48" si="57">-E42-H18</f>
        <v>-0.17736627625687382</v>
      </c>
      <c r="F48" s="53">
        <f t="shared" si="57"/>
        <v>-0.21308586275676097</v>
      </c>
      <c r="H48" s="60">
        <f>H42+J18</f>
        <v>5.8075043138033702E-2</v>
      </c>
      <c r="I48" s="61">
        <f>I42+K18</f>
        <v>0.12521789297846336</v>
      </c>
      <c r="AA48" t="s">
        <v>154</v>
      </c>
      <c r="AC48">
        <f>MDETERM(AB39:AH45)</f>
        <v>-5.7752794854109719E-9</v>
      </c>
      <c r="AK48">
        <f>AK47/$AK47</f>
        <v>1</v>
      </c>
      <c r="AL48">
        <f t="shared" ref="AL48" si="58">AL47/$AK47</f>
        <v>0.97782840427441986</v>
      </c>
      <c r="AM48">
        <f t="shared" ref="AM48" si="59">AM47/$AK47</f>
        <v>0.83898460481301795</v>
      </c>
      <c r="AN48">
        <f t="shared" ref="AN48" si="60">AN47/$AK47</f>
        <v>1.1680055887191063</v>
      </c>
      <c r="AO48">
        <f t="shared" ref="AO48" si="61">AO47/$AK47</f>
        <v>1.2295248676771331</v>
      </c>
      <c r="AP48">
        <f t="shared" ref="AP48" si="62">AP47/$AK47</f>
        <v>1.05985353406414</v>
      </c>
      <c r="AQ48">
        <f>AQ47/$AK47</f>
        <v>1.7168811179712216</v>
      </c>
      <c r="BC48" s="98"/>
      <c r="DF48" s="98"/>
    </row>
    <row r="49" spans="3:110" ht="15.75" thickBot="1">
      <c r="C49" s="54">
        <f>-C43-F19</f>
        <v>-0.17502906188900247</v>
      </c>
      <c r="D49" s="55">
        <f>1-G19-D43</f>
        <v>0.78965541927154925</v>
      </c>
      <c r="E49" s="55">
        <f t="shared" ref="E49" si="63">-E43-H19</f>
        <v>-5.945223834854324E-2</v>
      </c>
      <c r="F49" s="56">
        <f>-F43-I19</f>
        <v>-0.21646475171579377</v>
      </c>
      <c r="H49" s="62">
        <f t="shared" ref="H49:I49" si="64">H43+J19</f>
        <v>0.18457414789665816</v>
      </c>
      <c r="I49" s="63">
        <f t="shared" si="64"/>
        <v>2.342944298637871E-2</v>
      </c>
      <c r="R49" t="s">
        <v>122</v>
      </c>
      <c r="BC49" s="98"/>
      <c r="DF49" s="98"/>
    </row>
    <row r="50" spans="3:110" ht="15.75" thickTop="1">
      <c r="C50" s="54">
        <f>-C44-F20</f>
        <v>-0.16879662059014672</v>
      </c>
      <c r="D50" s="55">
        <f>-D44-G20</f>
        <v>-8.393818422254988E-2</v>
      </c>
      <c r="E50" s="55">
        <f>1-H20-E44</f>
        <v>0.938657324299493</v>
      </c>
      <c r="F50" s="56">
        <f>-F44-I20</f>
        <v>-0.21041036713400132</v>
      </c>
      <c r="H50" s="62">
        <f t="shared" ref="H50:I50" si="65">H44+J20</f>
        <v>6.1052527754594965E-2</v>
      </c>
      <c r="I50" s="63">
        <f t="shared" si="65"/>
        <v>0.1044456056372802</v>
      </c>
      <c r="Q50" s="75" t="s">
        <v>123</v>
      </c>
      <c r="R50" s="1">
        <f t="array" ref="R50:T53">MMULT(C18:E21,R45:T47)</f>
        <v>0.31841018082984845</v>
      </c>
      <c r="S50" s="2">
        <v>6.807349019919795E-2</v>
      </c>
      <c r="T50" s="3">
        <v>0.18117039437905982</v>
      </c>
      <c r="AJ50" t="s">
        <v>156</v>
      </c>
      <c r="AK50">
        <f t="array" ref="AK50:AQ50">MMULT(AK48:AQ48,AB$27:AH$33)/$AB$36</f>
        <v>0.99868042693630976</v>
      </c>
      <c r="AL50">
        <v>0.97859577478604631</v>
      </c>
      <c r="AM50">
        <v>0.83297256847798051</v>
      </c>
      <c r="AN50">
        <v>1.1728467506816034</v>
      </c>
      <c r="AO50">
        <v>1.2287128430278045</v>
      </c>
      <c r="AP50">
        <v>1.0551196740661477</v>
      </c>
      <c r="AQ50">
        <v>1.7207491873245573</v>
      </c>
      <c r="BC50" s="98"/>
      <c r="DF50" s="98"/>
    </row>
    <row r="51" spans="3:110" ht="15.75" thickBot="1">
      <c r="C51" s="57">
        <f>-C45-F21</f>
        <v>-0.16913690756691563</v>
      </c>
      <c r="D51" s="58">
        <f>-D45-G21</f>
        <v>-6.3426269403194527E-2</v>
      </c>
      <c r="E51" s="58">
        <f>-E45-H21</f>
        <v>-0.18068441121712253</v>
      </c>
      <c r="F51" s="59">
        <f>1-I21-F45</f>
        <v>0.79228404748506931</v>
      </c>
      <c r="H51" s="64">
        <f t="shared" ref="H51:I51" si="66">H45+J21</f>
        <v>0.21763203204505219</v>
      </c>
      <c r="I51" s="65">
        <f t="shared" si="66"/>
        <v>7.7545149736654301E-2</v>
      </c>
      <c r="R51" s="4">
        <v>0.11636054248353545</v>
      </c>
      <c r="S51" s="5">
        <v>0.23860925452803536</v>
      </c>
      <c r="T51" s="6">
        <v>3.1925485740586859E-2</v>
      </c>
      <c r="AK51">
        <f>AK50/$AK50</f>
        <v>1</v>
      </c>
      <c r="AL51">
        <f t="shared" ref="AL51" si="67">AL50/$AK50</f>
        <v>0.97988880966469138</v>
      </c>
      <c r="AM51">
        <f t="shared" ref="AM51" si="68">AM50/$AK50</f>
        <v>0.83407318899131966</v>
      </c>
      <c r="AN51">
        <f t="shared" ref="AN51" si="69">AN50/$AK50</f>
        <v>1.1743964526065565</v>
      </c>
      <c r="AO51">
        <f t="shared" ref="AO51" si="70">AO50/$AK50</f>
        <v>1.2303363617500485</v>
      </c>
      <c r="AP51">
        <f t="shared" ref="AP51" si="71">AP50/$AK50</f>
        <v>1.0565138212460805</v>
      </c>
      <c r="AQ51">
        <f>AQ50/$AK50</f>
        <v>1.7230228418547919</v>
      </c>
      <c r="BC51" s="98"/>
      <c r="DF51" s="98"/>
    </row>
    <row r="52" spans="3:110" ht="15.75" thickTop="1">
      <c r="R52" s="4">
        <v>0.27863939119859837</v>
      </c>
      <c r="S52" s="5">
        <v>0.20185462335905666</v>
      </c>
      <c r="T52" s="6">
        <v>3.6754389387543628E-2</v>
      </c>
      <c r="BC52" s="98"/>
      <c r="DF52" s="98"/>
    </row>
    <row r="53" spans="3:110" ht="15.75" thickBot="1">
      <c r="C53" t="s">
        <v>100</v>
      </c>
      <c r="H53" t="s">
        <v>104</v>
      </c>
      <c r="R53" s="7">
        <v>8.7350028875492938E-2</v>
      </c>
      <c r="S53" s="8">
        <v>0.36987482770084235</v>
      </c>
      <c r="T53" s="9">
        <v>0.24119026431307194</v>
      </c>
      <c r="AJ53" t="s">
        <v>156</v>
      </c>
      <c r="AK53">
        <f t="array" ref="AK53:AQ53">MMULT(AK51:AQ51,AB$27:AH$33)/$AB$36</f>
        <v>1.0000551215539546</v>
      </c>
      <c r="AL53">
        <v>0.9799062839594932</v>
      </c>
      <c r="AM53">
        <v>0.8353151213297737</v>
      </c>
      <c r="AN53">
        <v>1.1731734468192268</v>
      </c>
      <c r="AO53">
        <v>1.2306877937071612</v>
      </c>
      <c r="AP53">
        <v>1.0572795490084745</v>
      </c>
      <c r="AQ53">
        <v>1.722432041212367</v>
      </c>
      <c r="BC53" s="98"/>
      <c r="DF53" s="98"/>
    </row>
    <row r="54" spans="3:110" ht="15.75" thickTop="1">
      <c r="C54" s="51">
        <f t="array" ref="C54:F57">MINVERSE(C48:F51)</f>
        <v>1.306253207138403</v>
      </c>
      <c r="D54" s="52">
        <v>0.48709223491197839</v>
      </c>
      <c r="E54" s="52">
        <v>0.39090423118945278</v>
      </c>
      <c r="F54" s="53">
        <v>0.58821415828440593</v>
      </c>
      <c r="G54" s="75" t="s">
        <v>63</v>
      </c>
      <c r="H54" s="60">
        <f t="array" ref="H54:I57">MMULT(C54:F57,H48:I51)</f>
        <v>0.31764527952890281</v>
      </c>
      <c r="I54" s="61">
        <v>0.26141995819535119</v>
      </c>
      <c r="AK54">
        <f>AK53/$AK53</f>
        <v>1</v>
      </c>
      <c r="AL54">
        <f t="shared" ref="AL54" si="72">AL53/$AK53</f>
        <v>0.97985227297956057</v>
      </c>
      <c r="AM54">
        <f t="shared" ref="AM54" si="73">AM53/$AK53</f>
        <v>0.83526908000011391</v>
      </c>
      <c r="AN54">
        <f t="shared" ref="AN54" si="74">AN53/$AK53</f>
        <v>1.1731087832401368</v>
      </c>
      <c r="AO54">
        <f t="shared" ref="AO54" si="75">AO53/$AK53</f>
        <v>1.2306199600226373</v>
      </c>
      <c r="AP54">
        <f t="shared" ref="AP54" si="76">AP53/$AK53</f>
        <v>1.0572212733290147</v>
      </c>
      <c r="AQ54">
        <f>AQ53/$AK53</f>
        <v>1.7223371033147987</v>
      </c>
      <c r="BC54" s="98"/>
      <c r="DF54" s="98"/>
    </row>
    <row r="55" spans="3:110" ht="15.75" thickBot="1">
      <c r="C55" s="54">
        <v>0.42512764885529969</v>
      </c>
      <c r="D55" s="55">
        <v>1.4742935988441135</v>
      </c>
      <c r="E55" s="55">
        <v>0.28797620247528732</v>
      </c>
      <c r="F55" s="56">
        <v>0.59361850039723751</v>
      </c>
      <c r="H55" s="62">
        <v>0.44357786689786494</v>
      </c>
      <c r="I55" s="63">
        <v>0.16388555063225729</v>
      </c>
      <c r="R55" t="s">
        <v>124</v>
      </c>
      <c r="BC55" s="98"/>
      <c r="DF55" s="98"/>
    </row>
    <row r="56" spans="3:110" ht="15.75" thickTop="1">
      <c r="C56" s="54">
        <v>0.3615375527612954</v>
      </c>
      <c r="D56" s="55">
        <v>0.28369815789916736</v>
      </c>
      <c r="E56" s="55">
        <v>1.2491297498810112</v>
      </c>
      <c r="F56" s="56">
        <v>0.50648380868606202</v>
      </c>
      <c r="H56" s="62">
        <v>0.25984928393268758</v>
      </c>
      <c r="I56" s="63">
        <v>0.22165933643481683</v>
      </c>
      <c r="R56" s="1">
        <f t="array" ref="R56:U59">MMULT(R50:T53,C37:F39)</f>
        <v>5.9859617856409184E-2</v>
      </c>
      <c r="S56" s="2">
        <v>8.5969559913954913E-2</v>
      </c>
      <c r="T56" s="2">
        <v>4.0309756889932671E-2</v>
      </c>
      <c r="U56" s="3">
        <v>7.6924918440772552E-2</v>
      </c>
      <c r="AJ56" t="s">
        <v>156</v>
      </c>
      <c r="AK56">
        <f t="array" ref="AK56:AQ56">MMULT(AK54:AQ54,AB$27:AH$33)/$AB$36</f>
        <v>0.99994730839015078</v>
      </c>
      <c r="AL56">
        <v>0.97988580483772614</v>
      </c>
      <c r="AM56">
        <v>0.83504421340949442</v>
      </c>
      <c r="AN56">
        <v>1.1733854248391589</v>
      </c>
      <c r="AO56">
        <v>1.2305032012552894</v>
      </c>
      <c r="AP56">
        <v>1.057084119944087</v>
      </c>
      <c r="AQ56">
        <v>1.7224358310406069</v>
      </c>
      <c r="BC56" s="98"/>
      <c r="DF56" s="98"/>
    </row>
    <row r="57" spans="3:110" ht="15.75" thickBot="1">
      <c r="C57" s="57">
        <v>0.39534317217368292</v>
      </c>
      <c r="D57" s="58">
        <v>0.28670784504245067</v>
      </c>
      <c r="E57" s="58">
        <v>0.39137461292251835</v>
      </c>
      <c r="F57" s="59">
        <v>1.5507739469345017</v>
      </c>
      <c r="H57" s="64">
        <v>0.43727092270408863</v>
      </c>
      <c r="I57" s="65">
        <v>0.2173538005326669</v>
      </c>
      <c r="R57" s="4">
        <v>4.2479254906709611E-2</v>
      </c>
      <c r="S57" s="5">
        <v>6.6883093425511034E-2</v>
      </c>
      <c r="T57" s="5">
        <v>4.7809620845130081E-2</v>
      </c>
      <c r="U57" s="6">
        <v>5.2256039150617058E-2</v>
      </c>
      <c r="AK57">
        <f>AK56/$AK56</f>
        <v>1</v>
      </c>
      <c r="AL57">
        <f t="shared" ref="AL57" si="77">AL56/$AK56</f>
        <v>0.97993743931895538</v>
      </c>
      <c r="AM57">
        <f t="shared" ref="AM57" si="78">AM56/$AK56</f>
        <v>0.83508821555193791</v>
      </c>
      <c r="AN57">
        <f t="shared" ref="AN57" si="79">AN56/$AK56</f>
        <v>1.1734472556641329</v>
      </c>
      <c r="AO57">
        <f t="shared" ref="AO57" si="80">AO56/$AK56</f>
        <v>1.2305680418664444</v>
      </c>
      <c r="AP57">
        <f t="shared" ref="AP57" si="81">AP56/$AK56</f>
        <v>1.0571398223431621</v>
      </c>
      <c r="AQ57">
        <f>AQ56/$AK56</f>
        <v>1.7225265937398391</v>
      </c>
      <c r="BC57" s="98"/>
      <c r="DF57" s="98"/>
    </row>
    <row r="58" spans="3:110" ht="15.75" thickTop="1">
      <c r="R58" s="4">
        <v>5.5726588116073762E-2</v>
      </c>
      <c r="S58" s="5">
        <v>9.213412808170432E-2</v>
      </c>
      <c r="T58" s="5">
        <v>4.6120630241089942E-2</v>
      </c>
      <c r="U58" s="6">
        <v>6.8937151918131545E-2</v>
      </c>
      <c r="BC58" s="98"/>
      <c r="DF58" s="98"/>
    </row>
    <row r="59" spans="3:110" ht="15.75" thickBot="1">
      <c r="H59" s="30" t="s">
        <v>105</v>
      </c>
      <c r="K59" t="s">
        <v>106</v>
      </c>
      <c r="R59" s="7">
        <v>7.6251692541723079E-2</v>
      </c>
      <c r="S59" s="8">
        <v>9.8658190746916993E-2</v>
      </c>
      <c r="T59" s="8">
        <v>9.3396265619648158E-2</v>
      </c>
      <c r="U59" s="9">
        <v>9.6967775735091882E-2</v>
      </c>
      <c r="AJ59" t="s">
        <v>156</v>
      </c>
      <c r="AK59">
        <f t="array" ref="AK59:AQ59">MMULT(AK57:AQ57,AB$27:AH$33)/$AB$36</f>
        <v>1.0000278068705653</v>
      </c>
      <c r="AL59">
        <v>0.97991719309854863</v>
      </c>
      <c r="AM59">
        <v>0.83513954920213473</v>
      </c>
      <c r="AN59">
        <v>1.1733838169586921</v>
      </c>
      <c r="AO59">
        <v>1.2305873440694417</v>
      </c>
      <c r="AP59">
        <v>1.0571803740004462</v>
      </c>
      <c r="AQ59">
        <v>1.7225043816841894</v>
      </c>
      <c r="BC59" s="98"/>
      <c r="DF59" s="98"/>
    </row>
    <row r="60" spans="3:110" ht="15.75" thickTop="1">
      <c r="H60" s="76">
        <f t="array" ref="H60:H63">MMULT(H54:I57,M4:M5)</f>
        <v>220.38103082299128</v>
      </c>
      <c r="K60" s="60">
        <f t="array" ref="K60:L62">MMULT(F15:I17,H54:I57)</f>
        <v>0.15467801388089833</v>
      </c>
      <c r="L60" s="61">
        <v>7.6832601650833693E-2</v>
      </c>
      <c r="AK60">
        <f>AK59/$AK59</f>
        <v>1</v>
      </c>
      <c r="AL60">
        <f t="shared" ref="AL60" si="82">AL59/$AK59</f>
        <v>0.97988994542566799</v>
      </c>
      <c r="AM60">
        <f t="shared" ref="AM60" si="83">AM59/$AK59</f>
        <v>0.83511632723051654</v>
      </c>
      <c r="AN60">
        <f t="shared" ref="AN60" si="84">AN59/$AK59</f>
        <v>1.1733511897340316</v>
      </c>
      <c r="AO60">
        <f t="shared" ref="AO60" si="85">AO59/$AK59</f>
        <v>1.2305531262379368</v>
      </c>
      <c r="AP60">
        <f t="shared" ref="AP60" si="86">AP59/$AK59</f>
        <v>1.0571509779400348</v>
      </c>
      <c r="AQ60">
        <f>AQ59/$AK59</f>
        <v>1.7224564855596411</v>
      </c>
      <c r="BC60" s="98"/>
      <c r="DF60" s="98"/>
    </row>
    <row r="61" spans="3:110" ht="15.75" thickBot="1">
      <c r="H61" s="77">
        <v>187.04690375892736</v>
      </c>
      <c r="K61" s="62">
        <v>0.15751579452180164</v>
      </c>
      <c r="L61" s="63">
        <v>9.2574719316446369E-2</v>
      </c>
      <c r="R61" t="s">
        <v>125</v>
      </c>
      <c r="BC61" s="98"/>
      <c r="DF61" s="98"/>
    </row>
    <row r="62" spans="3:110" ht="16.5" thickTop="1" thickBot="1">
      <c r="H62" s="77">
        <v>184.96545864742762</v>
      </c>
      <c r="K62" s="64">
        <v>0.14125462638529984</v>
      </c>
      <c r="L62" s="65">
        <v>8.6869643365417623E-2</v>
      </c>
      <c r="R62" s="1">
        <f>R56+1</f>
        <v>1.0598596178564093</v>
      </c>
      <c r="S62" s="2">
        <f>S56</f>
        <v>8.5969559913954913E-2</v>
      </c>
      <c r="T62" s="2">
        <f t="shared" ref="R62:U64" si="87">T56</f>
        <v>4.0309756889932671E-2</v>
      </c>
      <c r="U62" s="3">
        <f t="shared" si="87"/>
        <v>7.6924918440772552E-2</v>
      </c>
      <c r="AJ62" t="s">
        <v>156</v>
      </c>
      <c r="AK62">
        <f t="array" ref="AK62:AQ62">MMULT(AK60:AQ60,AB$27:AH$33)/$AB$36</f>
        <v>0.99999215849349266</v>
      </c>
      <c r="AL62">
        <v>0.97989596887808117</v>
      </c>
      <c r="AM62">
        <v>0.83510295888324237</v>
      </c>
      <c r="AN62">
        <v>1.1733666001469394</v>
      </c>
      <c r="AO62">
        <v>1.2305488877949771</v>
      </c>
      <c r="AP62">
        <v>1.0571393732008398</v>
      </c>
      <c r="AQ62">
        <v>1.7224627708470772</v>
      </c>
      <c r="BC62" s="98"/>
      <c r="DF62" s="98"/>
    </row>
    <row r="63" spans="3:110" ht="16.5" thickTop="1" thickBot="1">
      <c r="H63" s="78">
        <v>217.86646486041786</v>
      </c>
      <c r="R63" s="4">
        <f t="shared" si="87"/>
        <v>4.2479254906709611E-2</v>
      </c>
      <c r="S63" s="5">
        <f>S57+1</f>
        <v>1.0668830934255111</v>
      </c>
      <c r="T63" s="5">
        <f t="shared" si="87"/>
        <v>4.7809620845130081E-2</v>
      </c>
      <c r="U63" s="6">
        <f t="shared" si="87"/>
        <v>5.2256039150617058E-2</v>
      </c>
      <c r="AK63">
        <f>AK62/$AK62</f>
        <v>1</v>
      </c>
      <c r="AL63">
        <f t="shared" ref="AL63" si="88">AL62/$AK62</f>
        <v>0.9799036527989512</v>
      </c>
      <c r="AM63">
        <f t="shared" ref="AM63" si="89">AM62/$AK62</f>
        <v>0.83510950739987899</v>
      </c>
      <c r="AN63">
        <f t="shared" ref="AN63" si="90">AN62/$AK62</f>
        <v>1.1733758011809199</v>
      </c>
      <c r="AO63">
        <f t="shared" ref="AO63" si="91">AO62/$AK62</f>
        <v>1.2305585372277543</v>
      </c>
      <c r="AP63">
        <f t="shared" ref="AP63" si="92">AP62/$AK62</f>
        <v>1.0571476628311172</v>
      </c>
      <c r="AQ63">
        <f>AQ62/$AK62</f>
        <v>1.7224762776560172</v>
      </c>
      <c r="BC63" s="98"/>
      <c r="DF63" s="98"/>
    </row>
    <row r="64" spans="3:110" ht="16.5" thickTop="1" thickBot="1">
      <c r="K64" t="s">
        <v>107</v>
      </c>
      <c r="R64" s="4">
        <f t="shared" ref="R64:S64" si="93">R58</f>
        <v>5.5726588116073762E-2</v>
      </c>
      <c r="S64" s="5">
        <f t="shared" si="93"/>
        <v>9.213412808170432E-2</v>
      </c>
      <c r="T64" s="5">
        <f>T58+1</f>
        <v>1.0461206302410899</v>
      </c>
      <c r="U64" s="6">
        <f t="shared" si="87"/>
        <v>6.8937151918131545E-2</v>
      </c>
      <c r="BC64" s="98"/>
      <c r="DF64" s="98"/>
    </row>
    <row r="65" spans="8:110" ht="16.5" thickTop="1" thickBot="1">
      <c r="K65" s="60">
        <f>K60+J15</f>
        <v>0.34487612221968567</v>
      </c>
      <c r="L65" s="61">
        <f>L60+K15</f>
        <v>0.13747591645066753</v>
      </c>
      <c r="R65" s="7">
        <f t="shared" ref="R65:T65" si="94">R59</f>
        <v>7.6251692541723079E-2</v>
      </c>
      <c r="S65" s="8">
        <f t="shared" si="94"/>
        <v>9.8658190746916993E-2</v>
      </c>
      <c r="T65" s="8">
        <f t="shared" si="94"/>
        <v>9.3396265619648158E-2</v>
      </c>
      <c r="U65" s="9">
        <f>U59+1</f>
        <v>1.096967775735092</v>
      </c>
      <c r="W65" t="s">
        <v>130</v>
      </c>
      <c r="AJ65" t="s">
        <v>156</v>
      </c>
      <c r="AK65">
        <f t="array" ref="AK65:AQ65">MMULT(AK63:AQ63,AB$27:AH$33)/$AB$36</f>
        <v>1.000001795937657</v>
      </c>
      <c r="AL65">
        <v>0.97990214791703567</v>
      </c>
      <c r="AM65">
        <v>0.8351130552878081</v>
      </c>
      <c r="AN65">
        <v>1.1733718302163492</v>
      </c>
      <c r="AO65">
        <v>1.2305594726042446</v>
      </c>
      <c r="AP65">
        <v>1.0571506598952716</v>
      </c>
      <c r="AQ65">
        <v>1.7224744311172513</v>
      </c>
      <c r="BC65" s="98"/>
      <c r="DF65" s="98"/>
    </row>
    <row r="66" spans="8:110" ht="15.75" thickTop="1">
      <c r="K66" s="62">
        <f t="shared" ref="K66:L66" si="95">K61+J16</f>
        <v>0.3555369433623613</v>
      </c>
      <c r="L66" s="63">
        <f t="shared" si="95"/>
        <v>0.13853084920181358</v>
      </c>
      <c r="AK66">
        <f>AK65/$AK65</f>
        <v>1</v>
      </c>
      <c r="AL66">
        <f t="shared" ref="AL66" si="96">AL65/$AK65</f>
        <v>0.97990038807702862</v>
      </c>
      <c r="AM66">
        <f t="shared" ref="AM66" si="97">AM65/$AK65</f>
        <v>0.83511155547951776</v>
      </c>
      <c r="AN66">
        <f t="shared" ref="AN66" si="98">AN65/$AK65</f>
        <v>1.1733697229174782</v>
      </c>
      <c r="AO66">
        <f t="shared" ref="AO66" si="99">AO65/$AK65</f>
        <v>1.2305572626001176</v>
      </c>
      <c r="AP66">
        <f t="shared" ref="AP66" si="100">AP65/$AK65</f>
        <v>1.0571487613220021</v>
      </c>
      <c r="AQ66">
        <f>AQ65/$AK65</f>
        <v>1.7224713376661127</v>
      </c>
      <c r="BC66" s="98"/>
      <c r="DF66" s="98"/>
    </row>
    <row r="67" spans="8:110" ht="15.75" thickBot="1">
      <c r="K67" s="64">
        <f t="shared" ref="K67:L67" si="101">K62+J17</f>
        <v>0.1633490936590675</v>
      </c>
      <c r="L67" s="65">
        <f t="shared" si="101"/>
        <v>0.20769676909296855</v>
      </c>
      <c r="R67" t="s">
        <v>126</v>
      </c>
      <c r="W67" t="s">
        <v>131</v>
      </c>
      <c r="BC67" s="98"/>
      <c r="DF67" s="98"/>
    </row>
    <row r="68" spans="8:110" ht="15.75" thickTop="1">
      <c r="Q68" s="75" t="s">
        <v>127</v>
      </c>
      <c r="R68" s="1">
        <f t="array" ref="R68:U71">MMULT(R62:U65,F18:I21)</f>
        <v>4.2663230223708215E-2</v>
      </c>
      <c r="S68" s="2">
        <v>0.2280354266551263</v>
      </c>
      <c r="T68" s="2">
        <v>0.18438115789394424</v>
      </c>
      <c r="U68" s="3">
        <v>0.22103954236276441</v>
      </c>
      <c r="W68">
        <v>1</v>
      </c>
      <c r="X68">
        <v>1</v>
      </c>
      <c r="Y68">
        <v>1</v>
      </c>
      <c r="Z68">
        <v>1</v>
      </c>
      <c r="AJ68" t="s">
        <v>156</v>
      </c>
      <c r="AK68">
        <f t="array" ref="AK68:AQ68">MMULT(AK66:AQ66,AB$27:AH$33)/$AB$36</f>
        <v>0.99999953205460634</v>
      </c>
      <c r="AL68">
        <v>0.97990067048124319</v>
      </c>
      <c r="AM68">
        <v>0.83511059316562197</v>
      </c>
      <c r="AN68">
        <v>1.1733706613415069</v>
      </c>
      <c r="AO68">
        <v>1.2305569378315673</v>
      </c>
      <c r="AP68">
        <v>1.0571479618954007</v>
      </c>
      <c r="AQ68">
        <v>1.7224717114899923</v>
      </c>
      <c r="BC68" s="98"/>
      <c r="DF68" s="98"/>
    </row>
    <row r="69" spans="8:110" ht="15.75" thickBot="1">
      <c r="H69" s="30" t="s">
        <v>110</v>
      </c>
      <c r="K69" t="s">
        <v>108</v>
      </c>
      <c r="R69" s="4">
        <v>0.17901455293744375</v>
      </c>
      <c r="S69" s="5">
        <v>0.20034659478988986</v>
      </c>
      <c r="T69" s="5">
        <v>5.3585244256661536E-2</v>
      </c>
      <c r="U69" s="6">
        <v>0.22838896703488273</v>
      </c>
      <c r="W69" t="s">
        <v>131</v>
      </c>
      <c r="AK69">
        <f>AK68/$AK68</f>
        <v>1</v>
      </c>
      <c r="AL69">
        <f t="shared" ref="AL69" si="102">AL68/$AK68</f>
        <v>0.97990112902146276</v>
      </c>
      <c r="AM69">
        <f t="shared" ref="AM69" si="103">AM68/$AK68</f>
        <v>0.83511098395196015</v>
      </c>
      <c r="AN69">
        <f t="shared" ref="AN69" si="104">AN68/$AK68</f>
        <v>1.1733712104151599</v>
      </c>
      <c r="AO69">
        <f t="shared" ref="AO69" si="105">AO68/$AK68</f>
        <v>1.2305575136652873</v>
      </c>
      <c r="AP69">
        <f t="shared" ref="AP69" si="106">AP68/$AK68</f>
        <v>1.0571484565831515</v>
      </c>
      <c r="AQ69">
        <f>AQ68/$AK68</f>
        <v>1.7224725175130726</v>
      </c>
      <c r="BC69" s="98"/>
      <c r="DF69" s="98"/>
    </row>
    <row r="70" spans="8:110" ht="15.75" thickTop="1">
      <c r="H70" s="76">
        <f t="array" ref="H70:H72">MMULT(K70:L72,M4:M5)</f>
        <v>179.72119578782159</v>
      </c>
      <c r="J70" s="75" t="s">
        <v>109</v>
      </c>
      <c r="K70" s="60">
        <f t="array" ref="K70:L72">MMULT(C32:E34,K65:L67)</f>
        <v>0.39534025778553594</v>
      </c>
      <c r="L70" s="61">
        <v>0.167755240384524</v>
      </c>
      <c r="R70" s="4">
        <v>0.17205725328376661</v>
      </c>
      <c r="S70" s="5">
        <v>6.7643568634868589E-2</v>
      </c>
      <c r="T70" s="5">
        <v>6.3288026027064112E-2</v>
      </c>
      <c r="U70" s="6">
        <v>0.22335210793495039</v>
      </c>
      <c r="W70">
        <f t="array" ref="W70:Z70">MMULT(W68:Z68,R$68:U$71)*(1+$T$86)</f>
        <v>0.9128826145966662</v>
      </c>
      <c r="X70">
        <v>0.88566567307897381</v>
      </c>
      <c r="Y70">
        <v>0.74955891026376675</v>
      </c>
      <c r="Z70">
        <v>1.4422903647480783</v>
      </c>
      <c r="BC70" s="98"/>
      <c r="DF70" s="98"/>
    </row>
    <row r="71" spans="8:110" ht="15.75" thickBot="1">
      <c r="H71" s="77">
        <v>217.89667058097541</v>
      </c>
      <c r="K71" s="62">
        <v>0.46454874172248561</v>
      </c>
      <c r="L71" s="63">
        <v>0.20831153706079714</v>
      </c>
      <c r="R71" s="7">
        <v>0.17435994195577631</v>
      </c>
      <c r="S71" s="8">
        <v>5.513204330361119E-2</v>
      </c>
      <c r="T71" s="8">
        <v>0.16520275495587125</v>
      </c>
      <c r="U71" s="9">
        <v>0.22476951727162231</v>
      </c>
      <c r="W71">
        <f>W70/$W70</f>
        <v>1</v>
      </c>
      <c r="X71">
        <f>X70/$W70</f>
        <v>0.97018571601375336</v>
      </c>
      <c r="Y71">
        <f t="shared" ref="Y71" si="107">Y70/$W70</f>
        <v>0.82109013610138715</v>
      </c>
      <c r="Z71">
        <f>Z70/$W70</f>
        <v>1.5799297102238248</v>
      </c>
      <c r="AJ71" t="s">
        <v>156</v>
      </c>
      <c r="AK71">
        <f t="array" ref="AK71:AQ71">MMULT(AK69:AQ69,AB$27:AH$33)/$AB$36</f>
        <v>1.0000000534886468</v>
      </c>
      <c r="AL71">
        <v>0.97990100554663973</v>
      </c>
      <c r="AM71">
        <v>0.83511117389181511</v>
      </c>
      <c r="AN71">
        <v>1.1733709054755888</v>
      </c>
      <c r="AO71">
        <v>1.2305575241343678</v>
      </c>
      <c r="AP71">
        <v>1.0571485887170475</v>
      </c>
      <c r="AQ71">
        <v>1.722472324119622</v>
      </c>
      <c r="BC71" s="98"/>
      <c r="DF71" s="98"/>
    </row>
    <row r="72" spans="8:110" ht="16.5" thickTop="1" thickBot="1">
      <c r="H72" s="78">
        <v>172.73774972601217</v>
      </c>
      <c r="K72" s="64">
        <v>0.19387057785541834</v>
      </c>
      <c r="L72" s="65">
        <v>0.22327272359154751</v>
      </c>
      <c r="W72" t="s">
        <v>131</v>
      </c>
      <c r="AK72">
        <f>AK71/$AK71</f>
        <v>1</v>
      </c>
      <c r="AL72">
        <f t="shared" ref="AL72" si="108">AL71/$AK71</f>
        <v>0.97990095313306369</v>
      </c>
      <c r="AM72">
        <f t="shared" ref="AM72" si="109">AM71/$AK71</f>
        <v>0.8351111292228508</v>
      </c>
      <c r="AN72">
        <f t="shared" ref="AN72" si="110">AN71/$AK71</f>
        <v>1.1733708427135701</v>
      </c>
      <c r="AO72">
        <f t="shared" ref="AO72" si="111">AO71/$AK71</f>
        <v>1.2305574583135146</v>
      </c>
      <c r="AP72">
        <f t="shared" ref="AP72" si="112">AP71/$AK71</f>
        <v>1.057148532171603</v>
      </c>
      <c r="AQ72">
        <f>AQ71/$AK71</f>
        <v>1.722472231986913</v>
      </c>
      <c r="BC72" s="98"/>
    </row>
    <row r="73" spans="8:110" ht="16.5" thickTop="1" thickBot="1">
      <c r="R73" t="s">
        <v>118</v>
      </c>
      <c r="W73">
        <f t="array" ref="W73:Z73">MMULT(W71:Z71,R$68:U$71)*(1+$T$86)</f>
        <v>1.0173268541367051</v>
      </c>
      <c r="X73">
        <v>0.90799769805994102</v>
      </c>
      <c r="Y73">
        <v>0.88274924002730915</v>
      </c>
      <c r="Z73">
        <v>1.5765988598849594</v>
      </c>
      <c r="BC73" s="98"/>
    </row>
    <row r="74" spans="8:110" ht="15.75" thickTop="1">
      <c r="R74" s="1">
        <f>1/(1+$S$27)</f>
        <v>0.62230890293785812</v>
      </c>
      <c r="S74" s="2">
        <v>0</v>
      </c>
      <c r="T74" s="2">
        <v>0</v>
      </c>
      <c r="U74" s="3">
        <v>0</v>
      </c>
      <c r="W74">
        <f>W73/$W73</f>
        <v>1</v>
      </c>
      <c r="X74">
        <f>X73/$W73</f>
        <v>0.89253291050737094</v>
      </c>
      <c r="Y74">
        <f t="shared" ref="Y74" si="113">Y73/$W73</f>
        <v>0.86771447783751132</v>
      </c>
      <c r="Z74">
        <f>Z73/$W73</f>
        <v>1.549746626144896</v>
      </c>
      <c r="AJ74" t="s">
        <v>156</v>
      </c>
      <c r="AK74">
        <f t="array" ref="AK74:AQ74">MMULT(AK72:AQ72,AB$27:AH$33)/$AB$36</f>
        <v>0.99999992748877908</v>
      </c>
      <c r="AL74">
        <v>0.9799009258046032</v>
      </c>
      <c r="AM74">
        <v>0.8351110333565096</v>
      </c>
      <c r="AN74">
        <v>1.1733708491321575</v>
      </c>
      <c r="AO74">
        <v>1.2305573826971332</v>
      </c>
      <c r="AP74">
        <v>1.0571484374157989</v>
      </c>
      <c r="AQ74">
        <v>1.7224721776379612</v>
      </c>
      <c r="BC74" s="98"/>
    </row>
    <row r="75" spans="8:110">
      <c r="R75" s="4">
        <v>0</v>
      </c>
      <c r="S75" s="5">
        <f>1/(1+$S$27)</f>
        <v>0.62230890293785812</v>
      </c>
      <c r="T75" s="5">
        <v>0</v>
      </c>
      <c r="U75" s="6">
        <v>0</v>
      </c>
      <c r="W75" t="s">
        <v>131</v>
      </c>
      <c r="AJ75" s="30" t="s">
        <v>156</v>
      </c>
      <c r="AK75" s="30">
        <f>AK74/$AK74</f>
        <v>1</v>
      </c>
      <c r="AL75" s="30">
        <f t="shared" ref="AL75" si="114">AL74/$AK74</f>
        <v>0.9799009968584208</v>
      </c>
      <c r="AM75" s="30">
        <f t="shared" ref="AM75" si="115">AM74/$AK74</f>
        <v>0.83511109391143468</v>
      </c>
      <c r="AN75" s="30">
        <f t="shared" ref="AN75" si="116">AN74/$AK74</f>
        <v>1.1733709342147165</v>
      </c>
      <c r="AO75" s="30">
        <f t="shared" ref="AO75" si="117">AO74/$AK74</f>
        <v>1.2305574719263579</v>
      </c>
      <c r="AP75" s="30">
        <f t="shared" ref="AP75" si="118">AP74/$AK74</f>
        <v>1.0571485140709282</v>
      </c>
      <c r="AQ75" s="30">
        <f>AQ74/$AK74</f>
        <v>1.7224723025365309</v>
      </c>
      <c r="BC75" s="98"/>
    </row>
    <row r="76" spans="8:110">
      <c r="R76" s="4">
        <v>0</v>
      </c>
      <c r="S76" s="5">
        <v>0</v>
      </c>
      <c r="T76" s="5">
        <f>1/(1+$S$27)</f>
        <v>0.62230890293785812</v>
      </c>
      <c r="U76" s="6">
        <v>0</v>
      </c>
      <c r="W76">
        <f t="array" ref="W76:Z76">MMULT(W74:Z74,R$68:U$71)*(1+$T$86)</f>
        <v>0.99942313008224948</v>
      </c>
      <c r="X76">
        <v>0.88539205425368006</v>
      </c>
      <c r="Y76">
        <v>0.87279178865447138</v>
      </c>
      <c r="Z76">
        <v>1.5539322449599298</v>
      </c>
      <c r="BC76" s="98"/>
    </row>
    <row r="77" spans="8:110" ht="15.75" thickBot="1">
      <c r="R77" s="7">
        <v>0</v>
      </c>
      <c r="S77" s="8">
        <v>0</v>
      </c>
      <c r="T77" s="8">
        <v>0</v>
      </c>
      <c r="U77" s="9">
        <f>1/(1+$S$27)</f>
        <v>0.62230890293785812</v>
      </c>
      <c r="W77">
        <f>W76/$W76</f>
        <v>1</v>
      </c>
      <c r="X77">
        <f>X76/$W76</f>
        <v>0.88590310510505699</v>
      </c>
      <c r="Y77">
        <f t="shared" ref="Y77" si="119">Y76/$W76</f>
        <v>0.8732955665961456</v>
      </c>
      <c r="Z77">
        <f>Z76/$W76</f>
        <v>1.5548291791406168</v>
      </c>
      <c r="AJ77" s="30" t="s">
        <v>66</v>
      </c>
      <c r="AK77" s="30">
        <f>AK75</f>
        <v>1</v>
      </c>
      <c r="AL77" s="30">
        <f t="shared" ref="AL77:AM77" si="120">AL75</f>
        <v>0.9799009968584208</v>
      </c>
      <c r="AM77" s="30">
        <f t="shared" si="120"/>
        <v>0.83511109391143468</v>
      </c>
      <c r="AN77" s="30"/>
      <c r="BC77" s="98"/>
    </row>
    <row r="78" spans="8:110" ht="15.75" thickTop="1">
      <c r="W78" t="s">
        <v>131</v>
      </c>
      <c r="AJ78" s="30" t="s">
        <v>64</v>
      </c>
      <c r="AK78" s="30">
        <f>AN75</f>
        <v>1.1733709342147165</v>
      </c>
      <c r="AL78" s="30">
        <f t="shared" ref="AL78:AN78" si="121">AO75</f>
        <v>1.2305574719263579</v>
      </c>
      <c r="AM78" s="30">
        <f t="shared" si="121"/>
        <v>1.0571485140709282</v>
      </c>
      <c r="AN78" s="30">
        <f t="shared" si="121"/>
        <v>1.7224723025365309</v>
      </c>
      <c r="BC78" s="98"/>
    </row>
    <row r="79" spans="8:110" ht="15.75" thickBot="1">
      <c r="R79" t="s">
        <v>128</v>
      </c>
      <c r="W79">
        <f t="array" ref="W79:Z79">MMULT(W77:Z77,R$68:U$71)*(1+$T$86)</f>
        <v>1.0004831001295893</v>
      </c>
      <c r="X79">
        <v>0.88431457867691621</v>
      </c>
      <c r="Y79">
        <v>0.87413775703433338</v>
      </c>
      <c r="Z79">
        <v>1.5553379399621419</v>
      </c>
      <c r="AJ79" s="30" t="s">
        <v>157</v>
      </c>
      <c r="AK79" s="30">
        <f t="array" ref="AK79:AL79">(MMULT(AK77:AM77,J15:K17)+MMULT(AK78:AN78,J18:K21))/$AB$36</f>
        <v>1.2499173335973641</v>
      </c>
      <c r="AL79" s="30">
        <v>0.70775852628541125</v>
      </c>
      <c r="BC79" s="98"/>
    </row>
    <row r="80" spans="8:110" ht="15.75" thickTop="1">
      <c r="R80" s="1">
        <f>R68-R74</f>
        <v>-0.57964567271414991</v>
      </c>
      <c r="S80" s="2">
        <f t="shared" ref="S80:U80" si="122">S68-S74</f>
        <v>0.2280354266551263</v>
      </c>
      <c r="T80" s="2">
        <f t="shared" si="122"/>
        <v>0.18438115789394424</v>
      </c>
      <c r="U80" s="3">
        <f t="shared" si="122"/>
        <v>0.22103954236276441</v>
      </c>
      <c r="W80">
        <f>W79/$W79</f>
        <v>1</v>
      </c>
      <c r="X80">
        <f>X79/$W79</f>
        <v>0.88388757247611061</v>
      </c>
      <c r="Y80">
        <f t="shared" ref="Y80" si="123">Y79/$W79</f>
        <v>0.87371566488340402</v>
      </c>
      <c r="Z80">
        <f>Z79/$W79</f>
        <v>1.5545869188202019</v>
      </c>
      <c r="BC80" s="98"/>
    </row>
    <row r="81" spans="18:55">
      <c r="R81" s="4">
        <f t="shared" ref="R81:U81" si="124">R69-R75</f>
        <v>0.17901455293744375</v>
      </c>
      <c r="S81" s="5">
        <f t="shared" si="124"/>
        <v>-0.42196230814796826</v>
      </c>
      <c r="T81" s="5">
        <f t="shared" si="124"/>
        <v>5.3585244256661536E-2</v>
      </c>
      <c r="U81" s="6">
        <f t="shared" si="124"/>
        <v>0.22838896703488273</v>
      </c>
      <c r="W81" t="s">
        <v>131</v>
      </c>
      <c r="BC81" s="98"/>
    </row>
    <row r="82" spans="18:55">
      <c r="R82" s="4">
        <f t="shared" ref="R82:U82" si="125">R70-R76</f>
        <v>0.17205725328376661</v>
      </c>
      <c r="S82" s="5">
        <f t="shared" si="125"/>
        <v>6.7643568634868589E-2</v>
      </c>
      <c r="T82" s="5">
        <f t="shared" si="125"/>
        <v>-0.55902087691079405</v>
      </c>
      <c r="U82" s="6">
        <f t="shared" si="125"/>
        <v>0.22335210793495039</v>
      </c>
      <c r="W82">
        <f t="array" ref="W82:Z82">MMULT(W80:Z80,R$68:U$71)*(1+$T$86)</f>
        <v>0.99995158080063384</v>
      </c>
      <c r="X82">
        <v>0.88368989782113805</v>
      </c>
      <c r="Y82">
        <v>0.87394261650417682</v>
      </c>
      <c r="Z82">
        <v>1.5546615101208885</v>
      </c>
      <c r="BC82" s="98"/>
    </row>
    <row r="83" spans="18:55" ht="15.75" thickBot="1">
      <c r="R83" s="7">
        <f t="shared" ref="R83:U83" si="126">R71-R77</f>
        <v>0.17435994195577631</v>
      </c>
      <c r="S83" s="8">
        <f t="shared" si="126"/>
        <v>5.513204330361119E-2</v>
      </c>
      <c r="T83" s="8">
        <f t="shared" si="126"/>
        <v>0.16520275495587125</v>
      </c>
      <c r="U83" s="9">
        <f t="shared" si="126"/>
        <v>-0.39753938566623581</v>
      </c>
      <c r="W83">
        <f>W82/$W82</f>
        <v>1</v>
      </c>
      <c r="X83">
        <f>X82/$W82</f>
        <v>0.88373268745031808</v>
      </c>
      <c r="Y83">
        <f t="shared" ref="Y83" si="127">Y82/$W82</f>
        <v>0.87398493415494671</v>
      </c>
      <c r="Z83">
        <f>Z82/$W82</f>
        <v>1.5547367892314481</v>
      </c>
      <c r="BC83" s="98"/>
    </row>
    <row r="84" spans="18:55" ht="15.75" thickTop="1">
      <c r="W84" t="s">
        <v>131</v>
      </c>
      <c r="BC84" s="98"/>
    </row>
    <row r="85" spans="18:55">
      <c r="R85" t="s">
        <v>129</v>
      </c>
      <c r="T85">
        <f>MDETERM(R80:U83)</f>
        <v>5.8115590471660183E-8</v>
      </c>
      <c r="W85">
        <f t="array" ref="W85:Z85">MMULT(W83:Z83,R$68:U$71)*(1+$T$86)</f>
        <v>1.0000234654444193</v>
      </c>
      <c r="X85">
        <v>0.88368258040847303</v>
      </c>
      <c r="Y85">
        <v>0.8739964498550945</v>
      </c>
      <c r="Z85">
        <v>1.554755441170347</v>
      </c>
      <c r="BC85" s="98"/>
    </row>
    <row r="86" spans="18:55">
      <c r="S86" t="s">
        <v>18</v>
      </c>
      <c r="T86">
        <v>0.60691899999999999</v>
      </c>
      <c r="W86">
        <f>W85/$W85</f>
        <v>1</v>
      </c>
      <c r="X86">
        <f>X85/$W85</f>
        <v>0.88366184489056632</v>
      </c>
      <c r="Y86">
        <f t="shared" ref="Y86" si="128">Y85/$W85</f>
        <v>0.8739759416212125</v>
      </c>
      <c r="Z86">
        <f>Z85/$W85</f>
        <v>1.5547189589990269</v>
      </c>
      <c r="BC86" s="98"/>
    </row>
    <row r="87" spans="18:55">
      <c r="W87" t="s">
        <v>131</v>
      </c>
      <c r="BC87" s="98"/>
    </row>
    <row r="88" spans="18:55" ht="15.75" thickBot="1">
      <c r="R88" t="s">
        <v>133</v>
      </c>
      <c r="W88">
        <f t="array" ref="W88:Z88">MMULT(W86:Z86,R$68:U$71)*(1+$T$86)</f>
        <v>0.99999560475011551</v>
      </c>
      <c r="X88">
        <v>0.88365721620468807</v>
      </c>
      <c r="Y88">
        <v>0.87398470192884747</v>
      </c>
      <c r="Z88">
        <v>1.5547197742322099</v>
      </c>
      <c r="BC88" s="98"/>
    </row>
    <row r="89" spans="18:55" ht="15.75" thickTop="1">
      <c r="R89" s="1">
        <f t="array" ref="R89:S91">MMULT(C37:F39,J18:K21)</f>
        <v>5.0087586995190572E-2</v>
      </c>
      <c r="S89" s="3">
        <v>1.9707134646088434E-2</v>
      </c>
      <c r="W89">
        <f>W88/$W88</f>
        <v>1</v>
      </c>
      <c r="X89">
        <f>X88/$W88</f>
        <v>0.88366110011603627</v>
      </c>
      <c r="Y89">
        <f t="shared" ref="Y89" si="129">Y88/$W88</f>
        <v>0.87398854332689158</v>
      </c>
      <c r="Z89">
        <f>Z88/$W88</f>
        <v>1.5547266076441526</v>
      </c>
      <c r="BC89" s="98"/>
    </row>
    <row r="90" spans="18:55">
      <c r="R90" s="4">
        <v>4.9723876004500921E-2</v>
      </c>
      <c r="S90" s="6">
        <v>3.3215370992262523E-2</v>
      </c>
      <c r="W90" t="s">
        <v>131</v>
      </c>
      <c r="BC90" s="98"/>
    </row>
    <row r="91" spans="18:55" ht="15.75" thickBot="1">
      <c r="R91" s="7">
        <v>3.5356264342666949E-2</v>
      </c>
      <c r="S91" s="9">
        <v>2.6863488903212579E-2</v>
      </c>
      <c r="W91">
        <f t="array" ref="W91:Z91">MMULT(W89:Z89,R$68:U$71)*(1+$T$86)</f>
        <v>1.0000010176675438</v>
      </c>
      <c r="X91">
        <v>0.88365902382262673</v>
      </c>
      <c r="Y91">
        <v>0.87398794984220507</v>
      </c>
      <c r="Z91">
        <v>1.5547267863470833</v>
      </c>
      <c r="BC91" s="98"/>
    </row>
    <row r="92" spans="18:55" ht="15.75" thickTop="1">
      <c r="W92">
        <f>W91/$W91</f>
        <v>1</v>
      </c>
      <c r="X92">
        <f>X91/$W91</f>
        <v>0.88365812455243353</v>
      </c>
      <c r="Y92">
        <f t="shared" ref="Y92" si="130">Y91/$W91</f>
        <v>0.87398706041394003</v>
      </c>
      <c r="Z92">
        <f>Z91/$W91</f>
        <v>1.5547252041537034</v>
      </c>
      <c r="BC92" s="98"/>
    </row>
    <row r="93" spans="18:55" ht="15.75" thickBot="1">
      <c r="R93" t="s">
        <v>134</v>
      </c>
      <c r="W93" t="s">
        <v>131</v>
      </c>
      <c r="BC93" s="98"/>
    </row>
    <row r="94" spans="18:55" ht="15.75" thickTop="1">
      <c r="R94" s="1">
        <f t="array" ref="R94:S97">MMULT(R50:T53,R89:S91)</f>
        <v>2.5738783773059187E-2</v>
      </c>
      <c r="S94" s="3">
        <v>1.3402907416996217E-2</v>
      </c>
      <c r="W94">
        <f t="array" ref="W94:Z94">MMULT(W92:Z92,R$68:U$71)*(1+$T$86)</f>
        <v>0.99999935847927612</v>
      </c>
      <c r="X94">
        <v>0.88365778033912223</v>
      </c>
      <c r="Y94">
        <v>0.87398717023352135</v>
      </c>
      <c r="Z94">
        <v>1.5547246551554907</v>
      </c>
      <c r="BC94" s="98"/>
    </row>
    <row r="95" spans="18:55">
      <c r="R95" s="4">
        <v>1.8821561693242311E-2</v>
      </c>
      <c r="S95" s="6">
        <v>1.1076257721472743E-2</v>
      </c>
      <c r="W95">
        <f>W94/$W94</f>
        <v>1</v>
      </c>
      <c r="X95">
        <f>X94/$W94</f>
        <v>0.88365834722426484</v>
      </c>
      <c r="Y95">
        <f t="shared" ref="Y95" si="131">Y94/$W94</f>
        <v>0.87398773091476312</v>
      </c>
      <c r="Z95">
        <f>Z94/$W94</f>
        <v>1.5547256525442168</v>
      </c>
      <c r="BC95" s="98"/>
    </row>
    <row r="96" spans="18:55">
      <c r="R96" s="4">
        <v>2.5292866916727007E-2</v>
      </c>
      <c r="S96" s="6">
        <v>1.3183211332886007E-2</v>
      </c>
      <c r="W96" t="s">
        <v>131</v>
      </c>
      <c r="BC96" s="98"/>
    </row>
    <row r="97" spans="17:55" ht="15.75" thickBot="1">
      <c r="R97" s="7">
        <v>3.1294348982047172E-2</v>
      </c>
      <c r="S97" s="9">
        <v>2.0486160392108828E-2</v>
      </c>
      <c r="W97">
        <f t="array" ref="W97:Z97">MMULT(W95:Z95,R$68:U$71)*(1+$T$86)</f>
        <v>0.99999973354601723</v>
      </c>
      <c r="X97">
        <v>0.88365796463231827</v>
      </c>
      <c r="Y97">
        <v>0.87398737662932502</v>
      </c>
      <c r="Z97">
        <v>1.5547251394777934</v>
      </c>
      <c r="BC97" s="98"/>
    </row>
    <row r="98" spans="17:55" ht="15.75" thickTop="1">
      <c r="V98" s="30" t="s">
        <v>131</v>
      </c>
      <c r="W98" s="30">
        <f>W97/$W97</f>
        <v>1</v>
      </c>
      <c r="X98" s="30">
        <f>X97/$W97</f>
        <v>0.88365820008656504</v>
      </c>
      <c r="Y98" s="30">
        <f t="shared" ref="Y98" si="132">Y97/$W97</f>
        <v>0.87398760950680443</v>
      </c>
      <c r="Z98" s="30">
        <f>Z97/$W97</f>
        <v>1.5547255537406093</v>
      </c>
      <c r="BC98" s="98"/>
    </row>
    <row r="99" spans="17:55" ht="15.75" thickBot="1">
      <c r="R99" t="s">
        <v>135</v>
      </c>
      <c r="W99" t="s">
        <v>131</v>
      </c>
      <c r="BC99" s="98"/>
    </row>
    <row r="100" spans="17:55" ht="15.75" thickTop="1">
      <c r="Q100" s="75" t="s">
        <v>136</v>
      </c>
      <c r="R100" s="1">
        <f>(R94+J18)*(1+$T$86)</f>
        <v>6.3895292690356903E-2</v>
      </c>
      <c r="S100" s="3">
        <f>(S94+K18)*(1+$T$86)</f>
        <v>0.18019403247596275</v>
      </c>
      <c r="W100">
        <f t="array" ref="W100:Z100">MMULT(W98:Z98,R$68:U$71)*(1+$T$86)</f>
        <v>0.99999962996996294</v>
      </c>
      <c r="X100">
        <v>0.88365789531264571</v>
      </c>
      <c r="Y100">
        <v>0.87398732538354074</v>
      </c>
      <c r="Z100">
        <v>1.5547250062169813</v>
      </c>
      <c r="BC100" s="98"/>
    </row>
    <row r="101" spans="17:55">
      <c r="R101" s="4">
        <f t="shared" ref="R101:S101" si="133">(R95+J19)*(1+$T$86)</f>
        <v>0.25875993720945106</v>
      </c>
      <c r="S101" s="6">
        <f t="shared" si="133"/>
        <v>3.0918849382793639E-2</v>
      </c>
      <c r="W101" s="30">
        <f>W100/$W100</f>
        <v>1</v>
      </c>
      <c r="X101" s="30">
        <f>X100/$W100</f>
        <v>0.8836582222927305</v>
      </c>
      <c r="Y101" s="30">
        <f t="shared" ref="Y101" si="134">Y100/$W100</f>
        <v>0.87398764878522284</v>
      </c>
      <c r="Z101" s="30">
        <f>Z100/$W100</f>
        <v>1.5547255815121459</v>
      </c>
      <c r="BC101" s="98"/>
    </row>
    <row r="102" spans="17:55">
      <c r="R102" s="4">
        <f t="shared" ref="R102:S102" si="135">(R96+J20)*(1+$T$86)</f>
        <v>4.8911091060256894E-2</v>
      </c>
      <c r="S102" s="6">
        <f t="shared" si="135"/>
        <v>0.15672448836253408</v>
      </c>
      <c r="W102" t="s">
        <v>131</v>
      </c>
      <c r="BC102" s="98"/>
    </row>
    <row r="103" spans="17:55" ht="15.75" thickBot="1">
      <c r="R103" s="7">
        <f>(R97+J21)*(1+$T$86)</f>
        <v>0.31070481374409598</v>
      </c>
      <c r="S103" s="9">
        <f t="shared" ref="S103" si="136">(S97+K21)*(1+$T$86)</f>
        <v>0.10375142875119066</v>
      </c>
      <c r="W103">
        <f t="array" ref="W103:Z103">MMULT(W101:Z101,R$68:U$71)*(1+$T$86)</f>
        <v>0.9999996549987018</v>
      </c>
      <c r="X103">
        <v>0.88365790919154652</v>
      </c>
      <c r="Y103">
        <v>0.87398733866265443</v>
      </c>
      <c r="Z103">
        <v>1.5547250384947706</v>
      </c>
      <c r="BC103" s="98"/>
    </row>
    <row r="104" spans="17:55" ht="15.75" thickTop="1">
      <c r="W104" s="30">
        <f>W103/$W103</f>
        <v>1</v>
      </c>
      <c r="X104" s="30">
        <f>X103/$W103</f>
        <v>0.88365821405477751</v>
      </c>
      <c r="Y104" s="30">
        <f t="shared" ref="Y104" si="137">Y103/$W103</f>
        <v>0.87398764018952491</v>
      </c>
      <c r="Z104" s="30">
        <f>Z103/$W103</f>
        <v>1.5547255748771123</v>
      </c>
      <c r="BC104" s="98"/>
    </row>
    <row r="105" spans="17:55">
      <c r="W105" t="s">
        <v>131</v>
      </c>
      <c r="BC105" s="98"/>
    </row>
    <row r="106" spans="17:55">
      <c r="W106">
        <f t="array" ref="W106:Z106">MMULT(W104:Z104,R$68:U$71)*(1+$T$86)</f>
        <v>0.9999996483933814</v>
      </c>
      <c r="X106">
        <v>0.88365790501726527</v>
      </c>
      <c r="Y106">
        <v>0.87398733531775086</v>
      </c>
      <c r="Z106">
        <v>1.5547250299898654</v>
      </c>
      <c r="BC106" s="98"/>
    </row>
    <row r="107" spans="17:55">
      <c r="W107" s="30">
        <f>W106/$W106</f>
        <v>1</v>
      </c>
      <c r="X107" s="30">
        <f>X106/$W106</f>
        <v>0.88365821571734249</v>
      </c>
      <c r="Y107" s="30">
        <f t="shared" ref="Y107" si="138">Y106/$W106</f>
        <v>0.87398764261759054</v>
      </c>
      <c r="Z107" s="30">
        <f>Z106/$W106</f>
        <v>1.5547255766416683</v>
      </c>
      <c r="BC107" s="98"/>
    </row>
    <row r="108" spans="17:55">
      <c r="W108" t="s">
        <v>131</v>
      </c>
      <c r="BC108" s="98"/>
    </row>
    <row r="109" spans="17:55">
      <c r="W109">
        <f t="array" ref="W109:Z109">MMULT(W107:Z107,R$68:U$71)*(1+$T$86)</f>
        <v>0.99999965003735192</v>
      </c>
      <c r="X109">
        <v>0.8836579059727645</v>
      </c>
      <c r="Y109">
        <v>0.87398733617627289</v>
      </c>
      <c r="Z109">
        <v>1.5547250321088188</v>
      </c>
      <c r="BC109" s="98"/>
    </row>
    <row r="110" spans="17:55">
      <c r="W110" s="30">
        <f>W109/$W109</f>
        <v>1</v>
      </c>
      <c r="X110" s="30">
        <f>X109/$W109</f>
        <v>0.88365821522013355</v>
      </c>
      <c r="Y110" s="30">
        <f t="shared" ref="Y110" si="139">Y109/$W109</f>
        <v>0.87398764203930246</v>
      </c>
      <c r="Z110" s="30">
        <f>Z109/$W109</f>
        <v>1.5547255762046985</v>
      </c>
      <c r="BC110" s="98"/>
    </row>
    <row r="111" spans="17:55">
      <c r="W111" t="s">
        <v>131</v>
      </c>
      <c r="BC111" s="98"/>
    </row>
    <row r="112" spans="17:55">
      <c r="W112">
        <f t="array" ref="W112:Z112">MMULT(W110:Z110,R$68:U$71)*(1+$T$86)</f>
        <v>0.99999964961200638</v>
      </c>
      <c r="X112">
        <v>0.8836579057111219</v>
      </c>
      <c r="Y112">
        <v>0.8739873359586473</v>
      </c>
      <c r="Z112">
        <v>1.5547250315609615</v>
      </c>
      <c r="BC112" s="98"/>
    </row>
    <row r="113" spans="23:55">
      <c r="W113" s="30">
        <f>W112/$W112</f>
        <v>1</v>
      </c>
      <c r="X113" s="30">
        <f>X112/$W112</f>
        <v>0.88365821533435107</v>
      </c>
      <c r="Y113" s="30">
        <f t="shared" ref="Y113" si="140">Y112/$W112</f>
        <v>0.87398764219342373</v>
      </c>
      <c r="Z113" s="30">
        <f>Z112/$W112</f>
        <v>1.5547255763181369</v>
      </c>
      <c r="BC113" s="98"/>
    </row>
    <row r="114" spans="23:55">
      <c r="W114" t="s">
        <v>131</v>
      </c>
      <c r="BC114" s="98"/>
    </row>
    <row r="115" spans="23:55">
      <c r="W115">
        <f t="array" ref="W115:Z115">MMULT(W113:Z113,R$68:U$71)*(1+$T$86)</f>
        <v>0.9999996497192577</v>
      </c>
      <c r="X115">
        <v>0.88365790577469561</v>
      </c>
      <c r="Y115">
        <v>0.87398733601427037</v>
      </c>
      <c r="Z115">
        <v>1.5547250316991674</v>
      </c>
      <c r="BC115" s="98"/>
    </row>
    <row r="116" spans="23:55">
      <c r="W116" s="30">
        <f>W115/$W115</f>
        <v>1</v>
      </c>
      <c r="X116" s="30">
        <f>X115/$W115</f>
        <v>0.88365821530315125</v>
      </c>
      <c r="Y116" s="30">
        <f t="shared" ref="Y116" si="141">Y115/$W115</f>
        <v>0.87398764215531044</v>
      </c>
      <c r="Z116" s="30">
        <f>Z115/$W115</f>
        <v>1.5547255762895964</v>
      </c>
      <c r="BC116" s="98"/>
    </row>
    <row r="117" spans="23:55">
      <c r="W117" t="s">
        <v>131</v>
      </c>
      <c r="BC117" s="98"/>
    </row>
    <row r="118" spans="23:55">
      <c r="W118">
        <f t="array" ref="W118:Z118">MMULT(W116:Z116,R$68:U$71)*(1+$T$86)</f>
        <v>0.99999964969174837</v>
      </c>
      <c r="X118">
        <v>0.88365790575797964</v>
      </c>
      <c r="Y118">
        <v>0.87398733600013112</v>
      </c>
      <c r="Z118">
        <v>1.5547250316637296</v>
      </c>
      <c r="BC118" s="98"/>
    </row>
    <row r="119" spans="23:55">
      <c r="W119" s="30">
        <f>W118/$W118</f>
        <v>1</v>
      </c>
      <c r="X119" s="30">
        <f>X118/$W118</f>
        <v>0.88365821531074407</v>
      </c>
      <c r="Y119" s="30">
        <f t="shared" ref="Y119" si="142">Y118/$W118</f>
        <v>0.87398764216521396</v>
      </c>
      <c r="Z119" s="30">
        <f>Z118/$W118</f>
        <v>1.5547255762969279</v>
      </c>
      <c r="BC119" s="98"/>
    </row>
    <row r="120" spans="23:55">
      <c r="W120" t="s">
        <v>131</v>
      </c>
    </row>
    <row r="121" spans="23:55">
      <c r="W121">
        <f t="array" ref="W121:Z121">MMULT(W119:Z119,R$68:U$71)*(1+$T$86)</f>
        <v>0.9999996496987249</v>
      </c>
      <c r="X121">
        <v>0.8836579057621502</v>
      </c>
      <c r="Y121">
        <v>0.87398733600373835</v>
      </c>
      <c r="Z121">
        <v>1.5547250316727186</v>
      </c>
    </row>
    <row r="122" spans="23:55">
      <c r="W122" s="30">
        <f>W121/$W121</f>
        <v>1</v>
      </c>
      <c r="X122" s="30">
        <f>X121/$W121</f>
        <v>0.88365821530874977</v>
      </c>
      <c r="Y122" s="30">
        <f t="shared" ref="Y122" si="143">Y121/$W121</f>
        <v>0.87398764216272384</v>
      </c>
      <c r="Z122" s="30">
        <f>Z121/$W121</f>
        <v>1.5547255762950705</v>
      </c>
    </row>
    <row r="123" spans="23:55">
      <c r="W123" t="s">
        <v>131</v>
      </c>
    </row>
    <row r="124" spans="23:55">
      <c r="W124">
        <f t="array" ref="W124:Z124">MMULT(W122:Z122,R$68:U$71)*(1+$T$86)</f>
        <v>0.99999964969694222</v>
      </c>
      <c r="X124">
        <v>0.88365790576107306</v>
      </c>
      <c r="Y124">
        <v>0.8739873360028203</v>
      </c>
      <c r="Z124">
        <v>1.554725031670422</v>
      </c>
    </row>
    <row r="125" spans="23:55">
      <c r="W125" s="30">
        <f>W124/$W124</f>
        <v>1</v>
      </c>
      <c r="X125" s="30">
        <f>X124/$W124</f>
        <v>0.88365821530924793</v>
      </c>
      <c r="Y125" s="30">
        <f t="shared" ref="Y125" si="144">Y124/$W124</f>
        <v>0.87398764216336378</v>
      </c>
      <c r="Z125" s="30">
        <f>Z124/$W124</f>
        <v>1.5547255762955454</v>
      </c>
    </row>
    <row r="126" spans="23:55">
      <c r="W126" t="s">
        <v>131</v>
      </c>
    </row>
    <row r="127" spans="23:55">
      <c r="W127">
        <f t="array" ref="W127:Z127">MMULT(W125:Z125,R$68:U$71)*(1+$T$86)</f>
        <v>0.99999964969739574</v>
      </c>
      <c r="X127">
        <v>0.88365790576134495</v>
      </c>
      <c r="Y127">
        <v>0.87398733600305434</v>
      </c>
      <c r="Z127">
        <v>1.5547250316710062</v>
      </c>
    </row>
    <row r="128" spans="23:55">
      <c r="W128" s="30">
        <f>W127/$W127</f>
        <v>1</v>
      </c>
      <c r="X128" s="30">
        <f>X127/$W127</f>
        <v>0.88365821530911903</v>
      </c>
      <c r="Y128" s="30">
        <f t="shared" ref="Y128" si="145">Y127/$W127</f>
        <v>0.87398764216320146</v>
      </c>
      <c r="Z128" s="30">
        <f>Z127/$W127</f>
        <v>1.5547255762954244</v>
      </c>
    </row>
    <row r="129" spans="22:26">
      <c r="W129" t="s">
        <v>131</v>
      </c>
    </row>
    <row r="130" spans="22:26">
      <c r="W130">
        <f t="array" ref="W130:Z130">MMULT(W128:Z128,R$68:U$71)*(1+$T$86)</f>
        <v>0.99999964969727984</v>
      </c>
      <c r="X130">
        <v>0.88365790576127501</v>
      </c>
      <c r="Y130">
        <v>0.87398733600299472</v>
      </c>
      <c r="Z130">
        <v>1.554725031670857</v>
      </c>
    </row>
    <row r="131" spans="22:26">
      <c r="W131" s="30">
        <f>W130/$W130</f>
        <v>1</v>
      </c>
      <c r="X131" s="30">
        <f>X130/$W130</f>
        <v>0.88365821530915156</v>
      </c>
      <c r="Y131" s="30">
        <f t="shared" ref="Y131" si="146">Y130/$W130</f>
        <v>0.87398764216324321</v>
      </c>
      <c r="Z131" s="30">
        <f>Z130/$W130</f>
        <v>1.5547255762954555</v>
      </c>
    </row>
    <row r="132" spans="22:26">
      <c r="W132" t="s">
        <v>131</v>
      </c>
    </row>
    <row r="133" spans="22:26">
      <c r="W133">
        <f t="array" ref="W133:Z133">MMULT(W131:Z131,R$68:U$71)*(1+$T$86)</f>
        <v>0.99999964969730937</v>
      </c>
      <c r="X133">
        <v>0.88365790576129277</v>
      </c>
      <c r="Y133">
        <v>0.87398733600301004</v>
      </c>
      <c r="Z133">
        <v>1.5547250316708949</v>
      </c>
    </row>
    <row r="134" spans="22:26">
      <c r="V134" s="30" t="s">
        <v>131</v>
      </c>
      <c r="W134" s="30">
        <f>W133/$W133</f>
        <v>1</v>
      </c>
      <c r="X134" s="30">
        <f>X133/$W133</f>
        <v>0.88365821530914324</v>
      </c>
      <c r="Y134" s="30">
        <f t="shared" ref="Y134" si="147">Y133/$W133</f>
        <v>0.87398764216323266</v>
      </c>
      <c r="Z134" s="30">
        <f>Z133/$W133</f>
        <v>1.5547255762954475</v>
      </c>
    </row>
    <row r="143" spans="22:26">
      <c r="V143" s="30" t="s">
        <v>132</v>
      </c>
      <c r="W143" s="30">
        <f t="array" ref="W143:Y143">MMULT(W134:Z134,R50:T53)</f>
        <v>0.80056583864358943</v>
      </c>
      <c r="X143" s="30">
        <v>1.0303948191953876</v>
      </c>
      <c r="Y143" s="30">
        <v>0.61648916693242495</v>
      </c>
    </row>
    <row r="145" spans="22:26">
      <c r="V145" s="30" t="s">
        <v>137</v>
      </c>
      <c r="W145" s="30">
        <f t="array" ref="W145:X145">MMULT(W134:Z134,R100:S103)</f>
        <v>0.81835904675581084</v>
      </c>
      <c r="X145" s="30">
        <v>0.50579599365085559</v>
      </c>
    </row>
    <row r="147" spans="22:26">
      <c r="V147" s="30" t="s">
        <v>138</v>
      </c>
    </row>
    <row r="149" spans="22:26">
      <c r="V149" s="30" t="s">
        <v>139</v>
      </c>
      <c r="W149" s="30">
        <f t="array" ref="W149:Y149">MMULT(W143:Y143,C32:E34)</f>
        <v>1.0704920164780938</v>
      </c>
      <c r="X149" s="30">
        <v>1.1296266866469153</v>
      </c>
      <c r="Y149" s="30">
        <v>0.88076691917384942</v>
      </c>
    </row>
    <row r="151" spans="22:26">
      <c r="V151" t="s">
        <v>141</v>
      </c>
      <c r="W151">
        <f t="array" ref="W151:Z151">MMULT(W149:Y149,F15:I17)</f>
        <v>0.26465156641873699</v>
      </c>
      <c r="X151">
        <v>0.37898185671485751</v>
      </c>
      <c r="Y151">
        <v>0.26807154488938978</v>
      </c>
      <c r="Z151">
        <v>0.33410989660993634</v>
      </c>
    </row>
    <row r="152" spans="22:26">
      <c r="V152" s="30" t="s">
        <v>140</v>
      </c>
      <c r="W152" s="30">
        <f>W151+W134</f>
        <v>1.264651566418737</v>
      </c>
      <c r="X152" s="30">
        <f t="shared" ref="X152:Z152" si="148">X151+X134</f>
        <v>1.2626400720240007</v>
      </c>
      <c r="Y152" s="30">
        <f t="shared" si="148"/>
        <v>1.1420591870526224</v>
      </c>
      <c r="Z152" s="30">
        <f t="shared" si="148"/>
        <v>1.8888354729053838</v>
      </c>
    </row>
    <row r="154" spans="22:26">
      <c r="V154" t="s">
        <v>142</v>
      </c>
      <c r="W154">
        <f t="array" ref="W154:X154">MMULT(W149:Y149,J15:K17)</f>
        <v>0.44675560664818825</v>
      </c>
      <c r="X154">
        <v>0.22325199035919899</v>
      </c>
    </row>
    <row r="155" spans="22:26">
      <c r="V155" s="30" t="s">
        <v>143</v>
      </c>
      <c r="W155" s="30">
        <f>W145+W154</f>
        <v>1.265114653403999</v>
      </c>
      <c r="X155" s="30">
        <f>X145+X154</f>
        <v>0.72904798401005455</v>
      </c>
    </row>
    <row r="157" spans="22:26">
      <c r="V157" s="30" t="s">
        <v>144</v>
      </c>
    </row>
    <row r="159" spans="22:26">
      <c r="V159" s="30" t="s">
        <v>145</v>
      </c>
    </row>
    <row r="160" spans="22:26">
      <c r="V160">
        <f t="array" ref="V160:X160">MMULT(W152:Z152,C18:E21)</f>
        <v>0.4981992487758185</v>
      </c>
      <c r="W160">
        <v>0.64122386952633437</v>
      </c>
      <c r="X160">
        <v>0.38364669714679145</v>
      </c>
    </row>
    <row r="161" spans="21:25">
      <c r="U161" s="30" t="s">
        <v>132</v>
      </c>
      <c r="V161" s="30">
        <f>V160*(1+$T86)</f>
        <v>0.80056583864358943</v>
      </c>
      <c r="W161" s="30">
        <f>W160*(1+$T86)</f>
        <v>1.0303948191953878</v>
      </c>
      <c r="X161" s="30">
        <f>X160*(1+$T86)</f>
        <v>0.61648916693242495</v>
      </c>
    </row>
    <row r="163" spans="21:25">
      <c r="V163" s="30" t="s">
        <v>146</v>
      </c>
    </row>
    <row r="164" spans="21:25">
      <c r="V164">
        <f t="array" ref="V164:Y164">MMULT(W152:Z152,F18:I21)</f>
        <v>0.62230868494137037</v>
      </c>
      <c r="W164">
        <v>0.54990818190667257</v>
      </c>
      <c r="X164">
        <v>0.54389010024961182</v>
      </c>
      <c r="Y164">
        <v>0.96751922882913521</v>
      </c>
    </row>
    <row r="165" spans="21:25">
      <c r="U165" s="30" t="s">
        <v>131</v>
      </c>
      <c r="V165" s="30">
        <f>V164*(1+$T86)</f>
        <v>0.99999964969730193</v>
      </c>
      <c r="W165" s="30">
        <f>W164*(1+$T86)</f>
        <v>0.88365790576128833</v>
      </c>
      <c r="X165" s="30">
        <f>X164*(1+$T86)</f>
        <v>0.87398733600300593</v>
      </c>
      <c r="Y165" s="30">
        <f>Y164*(1+$T86)</f>
        <v>1.5547250316708852</v>
      </c>
    </row>
    <row r="167" spans="21:25">
      <c r="V167" s="30" t="s">
        <v>147</v>
      </c>
    </row>
    <row r="168" spans="21:25">
      <c r="V168">
        <f t="array" ref="V168:W168">MMULT(W152:Z152,J18:K21)</f>
        <v>0.5092721205958799</v>
      </c>
      <c r="W168">
        <v>0.31476134991922766</v>
      </c>
    </row>
    <row r="169" spans="21:25">
      <c r="U169" s="30" t="s">
        <v>137</v>
      </c>
      <c r="V169" s="30">
        <f>V168*(1+$T86)</f>
        <v>0.81835904675581073</v>
      </c>
      <c r="W169" s="30">
        <f>W168*(1+$T86)</f>
        <v>0.50579599365085537</v>
      </c>
    </row>
  </sheetData>
  <mergeCells count="13">
    <mergeCell ref="D1:N1"/>
    <mergeCell ref="AB25:AD25"/>
    <mergeCell ref="AE25:AH25"/>
    <mergeCell ref="Z27:Z29"/>
    <mergeCell ref="Z30:Z33"/>
    <mergeCell ref="C2:E2"/>
    <mergeCell ref="A4:A6"/>
    <mergeCell ref="A7:A10"/>
    <mergeCell ref="A11:A12"/>
    <mergeCell ref="F2:I2"/>
    <mergeCell ref="J2:K2"/>
    <mergeCell ref="A2:A3"/>
    <mergeCell ref="B2:B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X170"/>
  <sheetViews>
    <sheetView topLeftCell="A78" zoomScaleNormal="100" workbookViewId="0">
      <selection activeCell="E94" sqref="E94"/>
    </sheetView>
  </sheetViews>
  <sheetFormatPr defaultRowHeight="15"/>
  <cols>
    <col min="1" max="1" width="22.5703125" customWidth="1"/>
    <col min="2" max="2" width="10" customWidth="1"/>
    <col min="10" max="10" width="15" customWidth="1"/>
    <col min="26" max="26" width="18.7109375" customWidth="1"/>
    <col min="96" max="96" width="12" bestFit="1" customWidth="1"/>
  </cols>
  <sheetData>
    <row r="1" spans="1:128" ht="34.5" customHeight="1">
      <c r="A1" s="388" t="s">
        <v>528</v>
      </c>
      <c r="B1" s="388"/>
      <c r="C1" s="388"/>
      <c r="D1" s="388"/>
      <c r="E1" s="388"/>
      <c r="F1" s="388"/>
      <c r="G1" s="388"/>
      <c r="H1" s="388"/>
    </row>
    <row r="2" spans="1:128" ht="15.75" thickBot="1">
      <c r="A2" s="30" t="s">
        <v>88</v>
      </c>
      <c r="C2" s="97" t="s">
        <v>288</v>
      </c>
      <c r="AF2" s="97" t="s">
        <v>71</v>
      </c>
      <c r="AG2" s="97">
        <v>1.5108024</v>
      </c>
      <c r="AK2" s="97" t="s">
        <v>160</v>
      </c>
      <c r="BC2" s="98"/>
      <c r="BQ2" s="97" t="s">
        <v>71</v>
      </c>
      <c r="BR2" s="97">
        <v>0.81825950000000003</v>
      </c>
      <c r="CH2" s="98"/>
      <c r="CU2" s="97" t="s">
        <v>71</v>
      </c>
      <c r="CV2" s="97">
        <v>1.7123705</v>
      </c>
      <c r="DF2" s="98"/>
      <c r="DR2" s="97" t="s">
        <v>71</v>
      </c>
      <c r="DS2" s="97">
        <v>1.023439</v>
      </c>
    </row>
    <row r="3" spans="1:128" ht="16.5" thickTop="1" thickBot="1">
      <c r="A3" s="380" t="s">
        <v>94</v>
      </c>
      <c r="B3" s="381" t="s">
        <v>91</v>
      </c>
      <c r="C3" s="378" t="s">
        <v>89</v>
      </c>
      <c r="D3" s="376"/>
      <c r="E3" s="379"/>
      <c r="F3" s="375" t="s">
        <v>92</v>
      </c>
      <c r="G3" s="376"/>
      <c r="H3" s="376"/>
      <c r="I3" s="377"/>
      <c r="J3" s="378" t="s">
        <v>93</v>
      </c>
      <c r="K3" s="379"/>
      <c r="T3" s="30" t="s">
        <v>132</v>
      </c>
      <c r="U3" s="10">
        <f>V162</f>
        <v>0.71670222994863564</v>
      </c>
      <c r="V3" s="11">
        <f>W162</f>
        <v>1.3148637223119641</v>
      </c>
      <c r="W3" s="12">
        <f>X162</f>
        <v>1.0673807872085466</v>
      </c>
      <c r="Z3" s="30" t="s">
        <v>69</v>
      </c>
      <c r="AA3" s="10">
        <f>W150</f>
        <v>1.2323030789387128</v>
      </c>
      <c r="AB3" s="11">
        <f>X150</f>
        <v>1.7327582342324863</v>
      </c>
      <c r="AC3" s="12">
        <f>Y150</f>
        <v>1.744423996763492</v>
      </c>
      <c r="AF3" s="30" t="s">
        <v>66</v>
      </c>
      <c r="AG3" s="10">
        <f>AK76*$AG$2</f>
        <v>1.5108024</v>
      </c>
      <c r="AH3" s="11">
        <f t="shared" ref="AH3:AI3" si="0">AL76*$AG$2</f>
        <v>1.9066595349180668</v>
      </c>
      <c r="AI3" s="12">
        <f t="shared" si="0"/>
        <v>2.1694878140289244</v>
      </c>
      <c r="AL3" s="97" t="s">
        <v>161</v>
      </c>
      <c r="BC3" s="98"/>
      <c r="BR3" s="30" t="s">
        <v>148</v>
      </c>
      <c r="CA3" s="30" t="s">
        <v>158</v>
      </c>
      <c r="CH3" s="98"/>
      <c r="CM3" s="30" t="s">
        <v>148</v>
      </c>
      <c r="CV3" s="30" t="s">
        <v>158</v>
      </c>
      <c r="DF3" s="98"/>
      <c r="DH3" s="85" t="s">
        <v>18</v>
      </c>
      <c r="DI3">
        <v>0.60691899999999999</v>
      </c>
    </row>
    <row r="4" spans="1:128" ht="16.5" thickTop="1" thickBot="1">
      <c r="A4" s="373"/>
      <c r="B4" s="382"/>
      <c r="C4" s="57">
        <v>1</v>
      </c>
      <c r="D4" s="58">
        <v>2</v>
      </c>
      <c r="E4" s="59">
        <v>3</v>
      </c>
      <c r="F4" s="69">
        <v>1</v>
      </c>
      <c r="G4" s="58">
        <v>2</v>
      </c>
      <c r="H4" s="58">
        <v>3</v>
      </c>
      <c r="I4" s="70">
        <v>4</v>
      </c>
      <c r="J4" s="57">
        <v>1</v>
      </c>
      <c r="K4" s="59">
        <v>2</v>
      </c>
      <c r="M4" s="30" t="s">
        <v>111</v>
      </c>
      <c r="N4" s="30" t="s">
        <v>113</v>
      </c>
      <c r="O4" s="30" t="s">
        <v>112</v>
      </c>
      <c r="T4" s="30" t="s">
        <v>131</v>
      </c>
      <c r="U4" s="71">
        <f>W135</f>
        <v>1</v>
      </c>
      <c r="V4" s="71">
        <f t="shared" ref="V4:X4" si="1">X135</f>
        <v>0.3377083596670109</v>
      </c>
      <c r="W4" s="71">
        <f t="shared" si="1"/>
        <v>1.3368787408946874</v>
      </c>
      <c r="X4" s="71">
        <f t="shared" si="1"/>
        <v>1.1593911801963106</v>
      </c>
      <c r="Z4" s="30" t="s">
        <v>68</v>
      </c>
      <c r="AA4" s="71">
        <f>W153</f>
        <v>1.4566824010531092</v>
      </c>
      <c r="AB4" s="72">
        <f>X153</f>
        <v>0.92886168078709286</v>
      </c>
      <c r="AC4" s="72">
        <f>Y153</f>
        <v>1.7780334067849619</v>
      </c>
      <c r="AD4" s="73">
        <f>Z153</f>
        <v>1.6176740178769078</v>
      </c>
      <c r="AF4" s="30" t="s">
        <v>64</v>
      </c>
      <c r="AG4" s="71">
        <f>AN76*$AG$2</f>
        <v>1.6976935221537235</v>
      </c>
      <c r="AH4" s="72">
        <f t="shared" ref="AH4:AJ4" si="2">AO76*$AG$2</f>
        <v>1.4470890202161439</v>
      </c>
      <c r="AI4" s="72">
        <f t="shared" si="2"/>
        <v>1.9152607161435045</v>
      </c>
      <c r="AJ4" s="73">
        <f t="shared" si="2"/>
        <v>1.910930883591075</v>
      </c>
      <c r="BC4" s="98"/>
      <c r="BQ4" s="1"/>
      <c r="BR4" s="2" t="s">
        <v>0</v>
      </c>
      <c r="BS4" s="2" t="s">
        <v>1</v>
      </c>
      <c r="BT4" s="2" t="s">
        <v>2</v>
      </c>
      <c r="BU4" s="3" t="s">
        <v>6</v>
      </c>
      <c r="BZ4" s="1"/>
      <c r="CA4" s="2" t="s">
        <v>8</v>
      </c>
      <c r="CB4" s="2" t="s">
        <v>9</v>
      </c>
      <c r="CC4" s="2" t="s">
        <v>10</v>
      </c>
      <c r="CD4" s="3" t="s">
        <v>11</v>
      </c>
      <c r="CH4" s="98"/>
      <c r="CL4" s="1"/>
      <c r="CM4" s="2" t="s">
        <v>0</v>
      </c>
      <c r="CN4" s="2" t="s">
        <v>1</v>
      </c>
      <c r="CO4" s="2" t="s">
        <v>2</v>
      </c>
      <c r="CP4" s="3" t="s">
        <v>6</v>
      </c>
      <c r="CU4" s="1"/>
      <c r="CV4" s="2" t="s">
        <v>8</v>
      </c>
      <c r="CW4" s="2" t="s">
        <v>9</v>
      </c>
      <c r="CX4" s="2" t="s">
        <v>10</v>
      </c>
      <c r="CY4" s="3" t="s">
        <v>11</v>
      </c>
      <c r="DF4" s="98"/>
      <c r="DJ4" s="30" t="s">
        <v>148</v>
      </c>
      <c r="DS4" s="30" t="s">
        <v>158</v>
      </c>
    </row>
    <row r="5" spans="1:128" ht="16.5" thickTop="1" thickBot="1">
      <c r="A5" s="373" t="s">
        <v>90</v>
      </c>
      <c r="B5" s="66">
        <v>1</v>
      </c>
      <c r="C5" s="51">
        <v>3.0705099999999999E-2</v>
      </c>
      <c r="D5" s="183">
        <v>0.18762300000000001</v>
      </c>
      <c r="E5" s="184">
        <v>0.13394</v>
      </c>
      <c r="F5" s="51">
        <v>0.16341800000000001</v>
      </c>
      <c r="G5" s="183">
        <v>7.1685600000000002E-2</v>
      </c>
      <c r="H5" s="183">
        <v>0.15485099999999999</v>
      </c>
      <c r="I5" s="184">
        <v>0.19994100000000001</v>
      </c>
      <c r="J5" s="51">
        <v>0.168318</v>
      </c>
      <c r="K5" s="184">
        <v>5.36243E-2</v>
      </c>
      <c r="M5" s="79">
        <v>254.84</v>
      </c>
      <c r="N5" s="81">
        <f>H71</f>
        <v>413.23188743431604</v>
      </c>
      <c r="O5" s="187">
        <f>H61</f>
        <v>299.93585419508827</v>
      </c>
      <c r="T5" s="30" t="s">
        <v>137</v>
      </c>
      <c r="U5" s="71">
        <f>W146</f>
        <v>1.3232751408427283</v>
      </c>
      <c r="V5" s="73">
        <f>X146</f>
        <v>2.5308666930667298</v>
      </c>
      <c r="Z5" s="30" t="s">
        <v>149</v>
      </c>
      <c r="AA5" s="71">
        <f>W156</f>
        <v>2.16434893286596</v>
      </c>
      <c r="AB5" s="73">
        <f>X156</f>
        <v>2.9424518912082989</v>
      </c>
      <c r="AF5" s="30" t="s">
        <v>157</v>
      </c>
      <c r="AG5" s="71">
        <f>AK80*$AG$2</f>
        <v>2.6582341379412142</v>
      </c>
      <c r="AH5" s="73">
        <f>AL80*$AG$2</f>
        <v>2.7857893806625973</v>
      </c>
      <c r="BC5" s="98"/>
      <c r="BQ5" s="4" t="s">
        <v>3</v>
      </c>
      <c r="BR5" s="5">
        <v>294.54226520338119</v>
      </c>
      <c r="BS5" s="5">
        <v>486.70029525928783</v>
      </c>
      <c r="BT5" s="5">
        <v>346.33885030828077</v>
      </c>
      <c r="BU5" s="88">
        <v>1127.5814107709498</v>
      </c>
      <c r="BW5" s="99">
        <f>ABS((BR6-BS5)/BS5)</f>
        <v>8.9243152373345416E-2</v>
      </c>
      <c r="BZ5" s="4" t="s">
        <v>3</v>
      </c>
      <c r="CA5" s="5">
        <v>272.64007292329268</v>
      </c>
      <c r="CB5" s="5">
        <v>475.68783540534201</v>
      </c>
      <c r="CC5" s="5">
        <v>305.00648218821829</v>
      </c>
      <c r="CD5" s="93">
        <v>1053.3343905168531</v>
      </c>
      <c r="CF5" s="99">
        <f>ABS((CA6-CB5)/CB5)</f>
        <v>0.11438741435599052</v>
      </c>
      <c r="CH5" s="98"/>
      <c r="CL5" s="4" t="s">
        <v>3</v>
      </c>
      <c r="CM5" s="5">
        <v>43.620188739220161</v>
      </c>
      <c r="CN5" s="5">
        <v>42.44104266581575</v>
      </c>
      <c r="CO5" s="5">
        <v>123.60401942864182</v>
      </c>
      <c r="CP5" s="88">
        <v>209.66525083367773</v>
      </c>
      <c r="CR5" s="99">
        <f>ABS((CM6-CN5)/CN5)</f>
        <v>7.3409708679172958E-2</v>
      </c>
      <c r="CU5" s="4" t="s">
        <v>3</v>
      </c>
      <c r="CV5" s="5">
        <v>53.105968029611972</v>
      </c>
      <c r="CW5" s="5">
        <v>45.017673456709147</v>
      </c>
      <c r="CX5" s="5">
        <v>153.48598124931837</v>
      </c>
      <c r="CY5" s="93">
        <v>251.6096227356395</v>
      </c>
      <c r="DA5" s="99">
        <f>ABS((CV6-CW5)/CW5)</f>
        <v>0.23760617883388702</v>
      </c>
      <c r="DF5" s="98"/>
      <c r="DI5" s="1"/>
      <c r="DJ5" s="2" t="s">
        <v>0</v>
      </c>
      <c r="DK5" s="2" t="s">
        <v>1</v>
      </c>
      <c r="DL5" s="2" t="s">
        <v>2</v>
      </c>
      <c r="DM5" s="3" t="s">
        <v>6</v>
      </c>
      <c r="DR5" s="1"/>
      <c r="DS5" s="2" t="s">
        <v>8</v>
      </c>
      <c r="DT5" s="2" t="s">
        <v>9</v>
      </c>
      <c r="DU5" s="2" t="s">
        <v>10</v>
      </c>
      <c r="DV5" s="3" t="s">
        <v>11</v>
      </c>
    </row>
    <row r="6" spans="1:128" ht="16.5" thickTop="1" thickBot="1">
      <c r="A6" s="373"/>
      <c r="B6" s="185">
        <v>2</v>
      </c>
      <c r="C6" s="54">
        <v>0.15700900000000001</v>
      </c>
      <c r="D6" s="55">
        <v>6.3945000000000002E-2</v>
      </c>
      <c r="E6" s="56">
        <v>9.7084299999999998E-2</v>
      </c>
      <c r="F6" s="54">
        <v>6.0483200000000001E-2</v>
      </c>
      <c r="G6" s="55">
        <v>0.18598400000000001</v>
      </c>
      <c r="H6" s="55">
        <v>1.6822199999999999E-2</v>
      </c>
      <c r="I6" s="56">
        <v>1.1939699999999999E-2</v>
      </c>
      <c r="J6" s="54">
        <v>0.18378</v>
      </c>
      <c r="K6" s="56">
        <v>7.8904500000000002E-2</v>
      </c>
      <c r="M6" s="80">
        <v>803.39499999999998</v>
      </c>
      <c r="N6" s="83">
        <f t="shared" ref="N6:N7" si="3">H72</f>
        <v>323.00326910218098</v>
      </c>
      <c r="O6" s="185">
        <f>H62</f>
        <v>308.95092331357836</v>
      </c>
      <c r="T6" s="85" t="s">
        <v>18</v>
      </c>
      <c r="U6">
        <f>T87</f>
        <v>1.5290851559643099</v>
      </c>
      <c r="BC6" s="98"/>
      <c r="BQ6" s="4" t="s">
        <v>4</v>
      </c>
      <c r="BR6" s="5">
        <v>443.265626649311</v>
      </c>
      <c r="BS6" s="5">
        <v>541.68513411663037</v>
      </c>
      <c r="BT6" s="5">
        <v>385.46639154819883</v>
      </c>
      <c r="BU6" s="90">
        <v>1370.4171523141401</v>
      </c>
      <c r="BW6" s="99">
        <f>ABS((BT5-BR7)/BR7)</f>
        <v>0.11143565814969102</v>
      </c>
      <c r="BZ6" s="4" t="s">
        <v>4</v>
      </c>
      <c r="CA6" s="5">
        <v>421.27513387272694</v>
      </c>
      <c r="CB6" s="5">
        <v>530.21012586880943</v>
      </c>
      <c r="CC6" s="5">
        <v>387.81016810649436</v>
      </c>
      <c r="CD6" s="95">
        <v>1339.2954278480306</v>
      </c>
      <c r="CF6" s="99">
        <f>ABS((CC5-CA7)/CA7)</f>
        <v>0.15138991789571574</v>
      </c>
      <c r="CH6" s="98"/>
      <c r="CL6" s="4" t="s">
        <v>4</v>
      </c>
      <c r="CM6" s="5">
        <v>45.556627243953635</v>
      </c>
      <c r="CN6" s="5">
        <v>67.415692690703636</v>
      </c>
      <c r="CO6" s="5">
        <v>196.33944092162457</v>
      </c>
      <c r="CP6" s="90">
        <v>309.31176085628181</v>
      </c>
      <c r="CR6" s="99">
        <f>ABS((CO5-CM7)/CM7)</f>
        <v>2.5857955429527835E-2</v>
      </c>
      <c r="CU6" s="4" t="s">
        <v>4</v>
      </c>
      <c r="CV6" s="5">
        <v>55.71415082674951</v>
      </c>
      <c r="CW6" s="5">
        <v>70.754127463540954</v>
      </c>
      <c r="CX6" s="5">
        <v>197.82294558445528</v>
      </c>
      <c r="CY6" s="95">
        <v>324.29122387474575</v>
      </c>
      <c r="DA6" s="99">
        <f>ABS((CX5-CV7)/CV7)</f>
        <v>7.491687644190273E-2</v>
      </c>
      <c r="DF6" s="98"/>
      <c r="DI6" s="4" t="s">
        <v>3</v>
      </c>
      <c r="DJ6" s="5">
        <v>115.78449321290611</v>
      </c>
      <c r="DK6" s="5">
        <v>295.52777815237619</v>
      </c>
      <c r="DL6" s="5">
        <v>179.361423588462</v>
      </c>
      <c r="DM6" s="88">
        <v>590.6736949537443</v>
      </c>
      <c r="DO6" s="99">
        <f>ABS((DJ7-DK6)/DK6)</f>
        <v>0.14868616490609157</v>
      </c>
      <c r="DR6" s="4" t="s">
        <v>3</v>
      </c>
      <c r="DS6" s="5">
        <v>105.98103053196199</v>
      </c>
      <c r="DT6" s="5">
        <v>280.74703357819664</v>
      </c>
      <c r="DU6" s="5">
        <v>163.36379584576582</v>
      </c>
      <c r="DV6" s="93">
        <v>550.09185995592452</v>
      </c>
      <c r="DX6" s="99">
        <f>ABS((DS7-DT6)/DT6)</f>
        <v>0.16354633560703194</v>
      </c>
    </row>
    <row r="7" spans="1:128" ht="16.5" thickTop="1" thickBot="1">
      <c r="A7" s="373"/>
      <c r="B7" s="185">
        <v>3</v>
      </c>
      <c r="C7" s="57">
        <v>0.117921</v>
      </c>
      <c r="D7" s="58">
        <v>4.3501400000000003E-2</v>
      </c>
      <c r="E7" s="59">
        <v>0.19706499999999999</v>
      </c>
      <c r="F7" s="57">
        <v>8.6274400000000001E-2</v>
      </c>
      <c r="G7" s="58">
        <v>0.103501</v>
      </c>
      <c r="H7" s="58">
        <v>0.12679399999999999</v>
      </c>
      <c r="I7" s="59">
        <v>0.10961</v>
      </c>
      <c r="J7" s="57">
        <v>0.18069499999999999</v>
      </c>
      <c r="K7" s="59">
        <v>0.119685</v>
      </c>
      <c r="M7" s="50"/>
      <c r="N7" s="84">
        <f t="shared" si="3"/>
        <v>429.6987210007519</v>
      </c>
      <c r="O7" s="185">
        <f>H63</f>
        <v>322.68002836840878</v>
      </c>
      <c r="V7" s="30" t="s">
        <v>148</v>
      </c>
      <c r="AE7" s="30" t="s">
        <v>158</v>
      </c>
      <c r="BC7" s="98"/>
      <c r="BQ7" s="4" t="s">
        <v>5</v>
      </c>
      <c r="BR7" s="5">
        <v>389.77351891825788</v>
      </c>
      <c r="BS7" s="5">
        <v>342.03198128169475</v>
      </c>
      <c r="BT7" s="5">
        <v>243.39201007194166</v>
      </c>
      <c r="BU7" s="91">
        <v>975.1975102718942</v>
      </c>
      <c r="BW7" s="99">
        <f>ABS((BT6-BS7)/BT6)</f>
        <v>0.11268014856510006</v>
      </c>
      <c r="BZ7" s="4" t="s">
        <v>5</v>
      </c>
      <c r="CA7" s="5">
        <v>359.41887637240745</v>
      </c>
      <c r="CB7" s="5">
        <v>333.39707591339987</v>
      </c>
      <c r="CC7" s="5">
        <v>282.38069709645845</v>
      </c>
      <c r="CD7" s="91">
        <v>975.19664938226572</v>
      </c>
      <c r="CF7" s="99">
        <f>ABS((CC6-CB7)/CC6)</f>
        <v>0.14030857534955715</v>
      </c>
      <c r="CH7" s="98"/>
      <c r="CL7" s="4" t="s">
        <v>5</v>
      </c>
      <c r="CM7" s="5">
        <v>120.48843485050392</v>
      </c>
      <c r="CN7" s="5">
        <v>199.45387029210599</v>
      </c>
      <c r="CO7" s="5">
        <v>580.88346822262076</v>
      </c>
      <c r="CP7" s="91">
        <v>900.8257733652307</v>
      </c>
      <c r="CR7" s="99">
        <f>ABS((CO6-CN7)/CO6)</f>
        <v>1.5862474477171633E-2</v>
      </c>
      <c r="CU7" s="4" t="s">
        <v>5</v>
      </c>
      <c r="CV7" s="5">
        <v>142.78869800367676</v>
      </c>
      <c r="CW7" s="5">
        <v>208.51838437552001</v>
      </c>
      <c r="CX7" s="5">
        <v>549.51805132836341</v>
      </c>
      <c r="CY7" s="91">
        <v>900.82513370756021</v>
      </c>
      <c r="DA7" s="99">
        <f>ABS((CX6-CW7)/CX6)</f>
        <v>5.4065713961875046E-2</v>
      </c>
      <c r="DF7" s="98"/>
      <c r="DI7" s="4" t="s">
        <v>4</v>
      </c>
      <c r="DJ7" s="5">
        <v>251.58688619568113</v>
      </c>
      <c r="DK7" s="5">
        <v>551.3945281707696</v>
      </c>
      <c r="DL7" s="5">
        <v>334.65181564287531</v>
      </c>
      <c r="DM7" s="90">
        <v>1137.6332300093261</v>
      </c>
      <c r="DO7" s="99">
        <f>ABS((DL6-DJ8)/DJ8)</f>
        <v>0.19677759207028536</v>
      </c>
      <c r="DR7" s="4" t="s">
        <v>4</v>
      </c>
      <c r="DS7" s="5">
        <v>234.83188500393823</v>
      </c>
      <c r="DT7" s="5">
        <v>527.52837655881285</v>
      </c>
      <c r="DU7" s="5">
        <v>322.04041467077587</v>
      </c>
      <c r="DV7" s="95">
        <v>1084.4006762335268</v>
      </c>
      <c r="DX7" s="99">
        <f>ABS((DU6-DS8)/DS8)</f>
        <v>0.21939697302028427</v>
      </c>
    </row>
    <row r="8" spans="1:128" ht="16.5" thickTop="1" thickBot="1">
      <c r="A8" s="373" t="s">
        <v>92</v>
      </c>
      <c r="B8" s="185">
        <v>1</v>
      </c>
      <c r="C8" s="51">
        <v>2.6770499999999999E-2</v>
      </c>
      <c r="D8" s="183">
        <v>1.4959500000000001E-2</v>
      </c>
      <c r="E8" s="184">
        <v>8.3611000000000005E-2</v>
      </c>
      <c r="F8" s="51">
        <v>1.15964E-2</v>
      </c>
      <c r="G8" s="183">
        <v>6.0136399999999998E-3</v>
      </c>
      <c r="H8" s="183">
        <v>0.17343500000000001</v>
      </c>
      <c r="I8" s="184">
        <v>4.0592900000000001E-2</v>
      </c>
      <c r="J8" s="51">
        <v>9.0983099999999997E-2</v>
      </c>
      <c r="K8" s="184">
        <v>0.184646</v>
      </c>
      <c r="M8" s="50"/>
      <c r="N8" s="50"/>
      <c r="O8" s="186">
        <f>H64</f>
        <v>376.51929087750915</v>
      </c>
      <c r="U8" s="1"/>
      <c r="V8" s="2" t="s">
        <v>0</v>
      </c>
      <c r="W8" s="2" t="s">
        <v>1</v>
      </c>
      <c r="X8" s="2" t="s">
        <v>2</v>
      </c>
      <c r="Y8" s="3" t="s">
        <v>6</v>
      </c>
      <c r="AD8" s="1"/>
      <c r="AE8" s="2" t="s">
        <v>8</v>
      </c>
      <c r="AF8" s="2" t="s">
        <v>9</v>
      </c>
      <c r="AG8" s="2" t="s">
        <v>10</v>
      </c>
      <c r="AH8" s="3" t="s">
        <v>11</v>
      </c>
      <c r="AM8" s="30" t="s">
        <v>162</v>
      </c>
      <c r="BC8" s="98"/>
      <c r="BQ8" s="7" t="s">
        <v>17</v>
      </c>
      <c r="BR8" s="89">
        <v>1127.58141077095</v>
      </c>
      <c r="BS8" s="25">
        <v>1370.4174106576129</v>
      </c>
      <c r="BT8" s="92">
        <v>975.19725192842122</v>
      </c>
      <c r="BU8" s="9">
        <v>3473.1960733569845</v>
      </c>
      <c r="BZ8" s="7" t="s">
        <v>17</v>
      </c>
      <c r="CA8" s="94">
        <v>1053.3340831684272</v>
      </c>
      <c r="CB8" s="96">
        <v>1339.2950371875513</v>
      </c>
      <c r="CC8" s="92">
        <v>975.19734739117109</v>
      </c>
      <c r="CD8" s="9">
        <v>3367.8264677471498</v>
      </c>
      <c r="CH8" s="98"/>
      <c r="CL8" s="7" t="s">
        <v>17</v>
      </c>
      <c r="CM8" s="89">
        <v>209.6652508336777</v>
      </c>
      <c r="CN8" s="25">
        <v>309.31060564862537</v>
      </c>
      <c r="CO8" s="92">
        <v>900.82692857288714</v>
      </c>
      <c r="CP8" s="9">
        <v>1419.8027850551903</v>
      </c>
      <c r="CU8" s="7" t="s">
        <v>17</v>
      </c>
      <c r="CV8" s="94">
        <v>251.60881686003825</v>
      </c>
      <c r="CW8" s="96">
        <v>324.29018529577013</v>
      </c>
      <c r="CX8" s="92">
        <v>900.82697816213704</v>
      </c>
      <c r="CY8" s="9">
        <v>1476.7259803179454</v>
      </c>
      <c r="DF8" s="98"/>
      <c r="DI8" s="4" t="s">
        <v>5</v>
      </c>
      <c r="DJ8" s="5">
        <v>223.30231554515706</v>
      </c>
      <c r="DK8" s="5">
        <v>290.71123407071258</v>
      </c>
      <c r="DL8" s="5">
        <v>176.4381714709628</v>
      </c>
      <c r="DM8" s="91">
        <v>690.45172108683232</v>
      </c>
      <c r="DO8" s="99">
        <f>ABS((DL7-DK8)/DL7)</f>
        <v>0.13130238510062067</v>
      </c>
      <c r="DR8" s="4" t="s">
        <v>5</v>
      </c>
      <c r="DS8" s="5">
        <v>209.27896792540992</v>
      </c>
      <c r="DT8" s="5">
        <v>276.12531948768805</v>
      </c>
      <c r="DU8" s="5">
        <v>205.04714881262163</v>
      </c>
      <c r="DV8" s="91">
        <v>690.45143622571959</v>
      </c>
      <c r="DX8" s="99">
        <f>ABS((DU7-DT8)/DU7)</f>
        <v>0.14257556844232469</v>
      </c>
    </row>
    <row r="9" spans="1:128" ht="16.5" thickTop="1" thickBot="1">
      <c r="A9" s="373"/>
      <c r="B9" s="185">
        <v>2</v>
      </c>
      <c r="C9" s="54">
        <v>1.7635699999999999E-3</v>
      </c>
      <c r="D9" s="55">
        <v>0.18326899999999999</v>
      </c>
      <c r="E9" s="56">
        <v>1.7894199999999999E-2</v>
      </c>
      <c r="F9" s="54">
        <v>8.4802500000000003E-2</v>
      </c>
      <c r="G9" s="55">
        <v>9.6404100000000006E-2</v>
      </c>
      <c r="H9" s="55">
        <v>5.1171699999999999E-3</v>
      </c>
      <c r="I9" s="56">
        <v>0.186969</v>
      </c>
      <c r="J9" s="54">
        <v>2.0617799999999999E-2</v>
      </c>
      <c r="K9" s="56">
        <v>0.13544300000000001</v>
      </c>
      <c r="U9" s="4" t="s">
        <v>3</v>
      </c>
      <c r="V9" s="5">
        <f>MMULT(AA3:AC3,M13:M15)</f>
        <v>638.96860668909846</v>
      </c>
      <c r="W9" s="5">
        <f>MMULT(AA4:AD4,M18:M21)</f>
        <v>466.38273616185734</v>
      </c>
      <c r="X9" s="5">
        <f>W9*U$6</f>
        <v>713.13891886311524</v>
      </c>
      <c r="Y9" s="88">
        <f>SUM(V9:X9)</f>
        <v>1818.490261714071</v>
      </c>
      <c r="AD9" s="4" t="s">
        <v>3</v>
      </c>
      <c r="AE9" s="5">
        <f>MMULT(AG3:AI3,M13:M15)</f>
        <v>760.21746818043005</v>
      </c>
      <c r="AF9" s="5">
        <f>MMULT(AG4:AJ4,M18:M21)</f>
        <v>554.15831172941341</v>
      </c>
      <c r="AG9" s="5">
        <f>(AE9+AF9)*AB$36</f>
        <v>858.01988366096521</v>
      </c>
      <c r="AH9" s="93">
        <f>SUM(AE9:AG9)</f>
        <v>2172.3956635708087</v>
      </c>
      <c r="AM9" t="s">
        <v>12</v>
      </c>
      <c r="AN9">
        <f>AE9/V9</f>
        <v>1.1897571496033252</v>
      </c>
      <c r="BC9" s="98"/>
      <c r="CH9" s="98"/>
      <c r="DF9" s="98"/>
      <c r="DI9" s="7" t="s">
        <v>17</v>
      </c>
      <c r="DJ9" s="89">
        <v>590.6736949537443</v>
      </c>
      <c r="DK9" s="25">
        <v>1137.6335403938583</v>
      </c>
      <c r="DL9" s="92">
        <v>690.45141070230011</v>
      </c>
      <c r="DM9" s="9">
        <v>2418.7586460499028</v>
      </c>
      <c r="DR9" s="7" t="s">
        <v>17</v>
      </c>
      <c r="DS9" s="94">
        <v>550.09188346131009</v>
      </c>
      <c r="DT9" s="96">
        <v>1084.4007296246975</v>
      </c>
      <c r="DU9" s="92">
        <v>690.45135932916332</v>
      </c>
      <c r="DV9" s="9">
        <v>2324.9439724151707</v>
      </c>
    </row>
    <row r="10" spans="1:128" ht="15.75" thickTop="1">
      <c r="A10" s="373"/>
      <c r="B10" s="185">
        <v>3</v>
      </c>
      <c r="C10" s="54">
        <v>0.12019299999999999</v>
      </c>
      <c r="D10" s="55">
        <v>0.130078</v>
      </c>
      <c r="E10" s="56">
        <v>2.8418599999999999E-2</v>
      </c>
      <c r="F10" s="54">
        <v>0.101023</v>
      </c>
      <c r="G10" s="55">
        <v>1.7499600000000001E-2</v>
      </c>
      <c r="H10" s="55">
        <v>2.44219E-2</v>
      </c>
      <c r="I10" s="56">
        <v>6.7284099999999999E-2</v>
      </c>
      <c r="J10" s="54">
        <v>6.2564400000000006E-2</v>
      </c>
      <c r="K10" s="56">
        <v>0.16669300000000001</v>
      </c>
      <c r="M10" s="30" t="s">
        <v>114</v>
      </c>
      <c r="U10" s="4" t="s">
        <v>4</v>
      </c>
      <c r="V10" s="5">
        <f>MMULT(AA3:AC3,O13:O15)</f>
        <v>634.51691960482651</v>
      </c>
      <c r="W10" s="5">
        <f>MMULT(AA4:AD4,O18:O21)</f>
        <v>503.02352419704778</v>
      </c>
      <c r="X10" s="5">
        <f t="shared" ref="X10:X11" si="4">W10*U$6</f>
        <v>769.16580395055962</v>
      </c>
      <c r="Y10" s="90">
        <f t="shared" ref="Y10:Y12" si="5">SUM(V10:X10)</f>
        <v>1906.7062477524339</v>
      </c>
      <c r="AD10" s="4" t="s">
        <v>4</v>
      </c>
      <c r="AE10" s="5">
        <f>MMULT(AG3:AI3,O13:O15)</f>
        <v>763.61512485438993</v>
      </c>
      <c r="AF10" s="5">
        <f>MMULT(AG4:AJ4,O18:O21)</f>
        <v>624.21329779174403</v>
      </c>
      <c r="AG10" s="5">
        <f t="shared" ref="AG10:AG11" si="6">(AE10+AF10)*AB$36</f>
        <v>905.96951034954088</v>
      </c>
      <c r="AH10" s="95">
        <f t="shared" ref="AH10:AH12" si="7">SUM(AE10:AG10)</f>
        <v>2293.7979329956747</v>
      </c>
      <c r="AM10" t="s">
        <v>13</v>
      </c>
      <c r="AN10">
        <f t="shared" ref="AN10:AN11" si="8">AE10/V10</f>
        <v>1.2034590430306651</v>
      </c>
      <c r="BC10" s="98"/>
      <c r="CH10" s="98"/>
      <c r="CL10" t="s">
        <v>18</v>
      </c>
      <c r="CM10">
        <v>2.9123700000000001</v>
      </c>
      <c r="DF10" s="98"/>
    </row>
    <row r="11" spans="1:128" ht="15.75" thickBot="1">
      <c r="A11" s="373"/>
      <c r="B11" s="185">
        <v>4</v>
      </c>
      <c r="C11" s="57">
        <v>1.7953299999999998E-2</v>
      </c>
      <c r="D11" s="58">
        <v>5.9709900000000003E-2</v>
      </c>
      <c r="E11" s="59">
        <v>0.144094</v>
      </c>
      <c r="F11" s="57">
        <v>7.4252200000000004E-2</v>
      </c>
      <c r="G11" s="58">
        <v>2.5400900000000001E-3</v>
      </c>
      <c r="H11" s="58">
        <v>0.14081099999999999</v>
      </c>
      <c r="I11" s="59">
        <v>6.5520499999999995E-2</v>
      </c>
      <c r="J11" s="57">
        <v>0.160908</v>
      </c>
      <c r="K11" s="59">
        <v>0.19134899999999999</v>
      </c>
      <c r="U11" s="4" t="s">
        <v>5</v>
      </c>
      <c r="V11" s="5">
        <f>MMULT(AA3:AC3,Q13:Q15)</f>
        <v>545.00473542014618</v>
      </c>
      <c r="W11" s="5">
        <f>MMULT(AA4:AD4,Q18:Q21)</f>
        <v>937.29903802502031</v>
      </c>
      <c r="X11" s="5">
        <f t="shared" si="4"/>
        <v>1433.2100457436859</v>
      </c>
      <c r="Y11" s="91">
        <f t="shared" si="5"/>
        <v>2915.5138191888523</v>
      </c>
      <c r="AD11" s="4" t="s">
        <v>5</v>
      </c>
      <c r="AE11" s="5">
        <f>MMULT(AG3:AI3,Q13:Q15)</f>
        <v>648.56253601579988</v>
      </c>
      <c r="AF11" s="5">
        <f>MMULT(AG4:AJ4,Q18:Q21)</f>
        <v>1115.4257595439351</v>
      </c>
      <c r="AG11" s="5">
        <f t="shared" si="6"/>
        <v>1151.5253516306316</v>
      </c>
      <c r="AH11" s="91">
        <f t="shared" si="7"/>
        <v>2915.5136471903666</v>
      </c>
      <c r="AJ11" t="s">
        <v>159</v>
      </c>
      <c r="AM11" t="s">
        <v>14</v>
      </c>
      <c r="AN11">
        <f t="shared" si="8"/>
        <v>1.1900126620291118</v>
      </c>
      <c r="BC11" s="98"/>
      <c r="CH11" s="98"/>
      <c r="CL11" t="s">
        <v>16</v>
      </c>
      <c r="CM11">
        <v>1.5642100000000001</v>
      </c>
      <c r="DF11" s="98"/>
      <c r="DH11" t="s">
        <v>16</v>
      </c>
      <c r="DI11">
        <v>0.42242550000000001</v>
      </c>
    </row>
    <row r="12" spans="1:128" ht="16.5" thickTop="1" thickBot="1">
      <c r="A12" s="373" t="s">
        <v>93</v>
      </c>
      <c r="B12" s="185">
        <v>1</v>
      </c>
      <c r="C12" s="51">
        <v>0</v>
      </c>
      <c r="D12" s="183">
        <v>0</v>
      </c>
      <c r="E12" s="184">
        <v>0</v>
      </c>
      <c r="F12" s="51">
        <v>0</v>
      </c>
      <c r="G12" s="183">
        <v>0</v>
      </c>
      <c r="H12" s="183">
        <v>0</v>
      </c>
      <c r="I12" s="184">
        <v>0</v>
      </c>
      <c r="J12" s="51">
        <v>0</v>
      </c>
      <c r="K12" s="184">
        <v>0</v>
      </c>
      <c r="M12" s="30" t="s">
        <v>53</v>
      </c>
      <c r="O12" s="30" t="s">
        <v>54</v>
      </c>
      <c r="Q12" s="30" t="s">
        <v>55</v>
      </c>
      <c r="S12" s="30" t="s">
        <v>113</v>
      </c>
      <c r="U12" s="7" t="s">
        <v>17</v>
      </c>
      <c r="V12" s="89">
        <f>SUM(V9:V11)</f>
        <v>1818.490261714071</v>
      </c>
      <c r="W12" s="25">
        <f t="shared" ref="W12:X12" si="9">SUM(W9:W11)</f>
        <v>1906.7052983839253</v>
      </c>
      <c r="X12" s="92">
        <f t="shared" si="9"/>
        <v>2915.5147685573606</v>
      </c>
      <c r="Y12" s="9">
        <f t="shared" si="5"/>
        <v>6640.7103286553574</v>
      </c>
      <c r="AD12" s="7" t="s">
        <v>17</v>
      </c>
      <c r="AE12" s="94">
        <f>SUM(AE9:AE11)</f>
        <v>2172.3951290506202</v>
      </c>
      <c r="AF12" s="96">
        <f t="shared" ref="AF12:AG12" si="10">SUM(AF9:AF11)</f>
        <v>2293.7973690650924</v>
      </c>
      <c r="AG12" s="92">
        <f t="shared" si="10"/>
        <v>2915.5147456411378</v>
      </c>
      <c r="AH12" s="9">
        <f t="shared" si="7"/>
        <v>7381.7072437568504</v>
      </c>
      <c r="AJ12">
        <f>AG12-X12</f>
        <v>-2.2916222860658308E-5</v>
      </c>
      <c r="AM12" t="s">
        <v>15</v>
      </c>
      <c r="AN12">
        <f>AH9/Y9</f>
        <v>1.1946149557727923</v>
      </c>
      <c r="BC12" s="98"/>
      <c r="CH12" s="98"/>
      <c r="DF12" s="98"/>
    </row>
    <row r="13" spans="1:128" ht="16.5" thickTop="1" thickBot="1">
      <c r="A13" s="374"/>
      <c r="B13" s="186">
        <v>2</v>
      </c>
      <c r="C13" s="57">
        <v>0</v>
      </c>
      <c r="D13" s="58">
        <v>0</v>
      </c>
      <c r="E13" s="59">
        <v>0</v>
      </c>
      <c r="F13" s="57">
        <v>0</v>
      </c>
      <c r="G13" s="58">
        <v>0</v>
      </c>
      <c r="H13" s="58">
        <v>0</v>
      </c>
      <c r="I13" s="59">
        <v>0</v>
      </c>
      <c r="J13" s="57">
        <v>0</v>
      </c>
      <c r="K13" s="59">
        <v>0</v>
      </c>
      <c r="M13">
        <f t="array" ref="M13:M15">MMULT(C16:E18,N5:N7)</f>
        <v>130.84501547645863</v>
      </c>
      <c r="O13">
        <f t="array" ref="O13:O15">MMULT(F16:I18,O5:O8)</f>
        <v>196.41121833935733</v>
      </c>
      <c r="Q13">
        <f t="array" ref="Q13:Q15">MMULT(J16:K18,M5:M6)</f>
        <v>85.97565361849999</v>
      </c>
      <c r="S13">
        <f>M13+O13+Q13</f>
        <v>413.23188743431592</v>
      </c>
      <c r="AM13" t="s">
        <v>163</v>
      </c>
      <c r="AN13">
        <f>AF9/W9</f>
        <v>1.1882050272484652</v>
      </c>
      <c r="BC13" s="98"/>
      <c r="BQ13" s="30" t="s">
        <v>111</v>
      </c>
      <c r="BS13" s="51">
        <v>5.4227648970909752E-2</v>
      </c>
      <c r="BT13" s="183">
        <v>5.0182227665559909E-2</v>
      </c>
      <c r="BU13" s="184">
        <v>6.7294195072159016E-2</v>
      </c>
      <c r="BV13" s="51">
        <v>0.15378379250201851</v>
      </c>
      <c r="BW13" s="183">
        <v>2.1752615041621227E-2</v>
      </c>
      <c r="BX13" s="183">
        <v>0.15410783623565277</v>
      </c>
      <c r="BY13" s="184">
        <v>0.1415375956131962</v>
      </c>
      <c r="BZ13" s="51">
        <v>0.12657653015295858</v>
      </c>
      <c r="CA13" s="184">
        <v>1.2529169847182066E-2</v>
      </c>
      <c r="CH13" s="98"/>
      <c r="DF13" s="98"/>
    </row>
    <row r="14" spans="1:128" ht="15.75" thickTop="1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M14">
        <v>127.25256899616679</v>
      </c>
      <c r="O14">
        <v>85.524724128514165</v>
      </c>
      <c r="Q14">
        <v>110.2259759775</v>
      </c>
      <c r="S14">
        <f t="shared" ref="S14:S15" si="11">M14+O14+Q14</f>
        <v>323.00326910218098</v>
      </c>
      <c r="T14" s="30" t="s">
        <v>288</v>
      </c>
      <c r="Z14" s="30" t="s">
        <v>288</v>
      </c>
      <c r="AF14" s="30" t="s">
        <v>288</v>
      </c>
      <c r="AM14" t="s">
        <v>164</v>
      </c>
      <c r="AN14">
        <f t="shared" ref="AN14:AN15" si="12">AF10/W10</f>
        <v>1.2409226761077341</v>
      </c>
      <c r="BC14" s="98"/>
      <c r="BF14" t="s">
        <v>166</v>
      </c>
      <c r="BQ14" s="79">
        <v>200</v>
      </c>
      <c r="BS14" s="54">
        <v>0.10692758813661669</v>
      </c>
      <c r="BT14" s="55">
        <v>0.13666373339524363</v>
      </c>
      <c r="BU14" s="56">
        <v>2.7683271060221105E-2</v>
      </c>
      <c r="BV14" s="54">
        <v>8.5395479042831651E-2</v>
      </c>
      <c r="BW14" s="55">
        <v>8.1699329792603775E-2</v>
      </c>
      <c r="BX14" s="55">
        <v>0.13482696095033547</v>
      </c>
      <c r="BY14" s="56">
        <v>1.2423565856672304E-2</v>
      </c>
      <c r="BZ14" s="54">
        <v>0.11812026588704701</v>
      </c>
      <c r="CA14" s="56">
        <v>0.17538672745860664</v>
      </c>
      <c r="CH14" s="98"/>
      <c r="DF14" s="98"/>
    </row>
    <row r="15" spans="1:128" ht="15.75" thickBot="1">
      <c r="A15" s="50"/>
      <c r="B15" s="50"/>
      <c r="C15" s="50" t="s">
        <v>51</v>
      </c>
      <c r="D15" s="50"/>
      <c r="E15" s="50"/>
      <c r="F15" s="50" t="s">
        <v>52</v>
      </c>
      <c r="G15" s="50"/>
      <c r="H15" s="50"/>
      <c r="I15" s="50"/>
      <c r="J15" s="50" t="s">
        <v>56</v>
      </c>
      <c r="K15" s="50"/>
      <c r="M15">
        <v>147.45839026267674</v>
      </c>
      <c r="O15">
        <v>140.03768636307518</v>
      </c>
      <c r="Q15">
        <v>142.20264437500001</v>
      </c>
      <c r="S15">
        <f t="shared" si="11"/>
        <v>429.6987210007519</v>
      </c>
      <c r="T15" s="30" t="s">
        <v>132</v>
      </c>
      <c r="U15">
        <v>0.34783700000000001</v>
      </c>
      <c r="V15">
        <v>0.63814199999999999</v>
      </c>
      <c r="W15">
        <v>0.51802999999999999</v>
      </c>
      <c r="Z15" s="30" t="s">
        <v>69</v>
      </c>
      <c r="AA15">
        <v>0.59807299999999997</v>
      </c>
      <c r="AB15">
        <v>0.84095799999999998</v>
      </c>
      <c r="AC15">
        <v>0.84661900000000001</v>
      </c>
      <c r="AF15" s="30" t="s">
        <v>66</v>
      </c>
      <c r="AG15">
        <v>0.73323700000000003</v>
      </c>
      <c r="AH15">
        <v>0.92535800000000001</v>
      </c>
      <c r="AI15">
        <v>1.0529200000000001</v>
      </c>
      <c r="AM15" t="s">
        <v>165</v>
      </c>
      <c r="AN15">
        <f t="shared" si="12"/>
        <v>1.1900425737065141</v>
      </c>
      <c r="BC15" s="98"/>
      <c r="BQ15" s="80">
        <v>600</v>
      </c>
      <c r="BS15" s="57">
        <v>0.18444405297952807</v>
      </c>
      <c r="BT15" s="58">
        <v>0.12263367720700452</v>
      </c>
      <c r="BU15" s="59">
        <v>4.6676594897226045E-2</v>
      </c>
      <c r="BV15" s="57">
        <v>0.17611327510422595</v>
      </c>
      <c r="BW15" s="58">
        <v>0.14676879965691247</v>
      </c>
      <c r="BX15" s="58">
        <v>4.1845800932883974E-2</v>
      </c>
      <c r="BY15" s="59">
        <v>0.15094277695904995</v>
      </c>
      <c r="BZ15" s="57">
        <v>0.16258966273424313</v>
      </c>
      <c r="CA15" s="59">
        <v>7.6659523024404361E-2</v>
      </c>
      <c r="CH15" s="98"/>
      <c r="DF15" s="98"/>
    </row>
    <row r="16" spans="1:128" ht="16.5" thickTop="1" thickBot="1">
      <c r="A16" s="50"/>
      <c r="B16" s="50"/>
      <c r="C16" s="51">
        <f>C5</f>
        <v>3.0705099999999999E-2</v>
      </c>
      <c r="D16" s="183">
        <f t="shared" ref="D16:E16" si="13">D5</f>
        <v>0.18762300000000001</v>
      </c>
      <c r="E16" s="184">
        <f t="shared" si="13"/>
        <v>0.13394</v>
      </c>
      <c r="F16" s="51">
        <f>F5</f>
        <v>0.16341800000000001</v>
      </c>
      <c r="G16" s="183">
        <f t="shared" ref="G16:I16" si="14">G5</f>
        <v>7.1685600000000002E-2</v>
      </c>
      <c r="H16" s="183">
        <f t="shared" si="14"/>
        <v>0.15485099999999999</v>
      </c>
      <c r="I16" s="184">
        <f t="shared" si="14"/>
        <v>0.19994100000000001</v>
      </c>
      <c r="J16" s="60">
        <f>J5</f>
        <v>0.168318</v>
      </c>
      <c r="K16" s="61">
        <f>K5</f>
        <v>5.36243E-2</v>
      </c>
      <c r="T16" s="30" t="s">
        <v>131</v>
      </c>
      <c r="U16">
        <v>0.48532900000000001</v>
      </c>
      <c r="V16">
        <v>0.16389999999999999</v>
      </c>
      <c r="W16">
        <v>0.64882700000000004</v>
      </c>
      <c r="X16">
        <v>0.56268600000000002</v>
      </c>
      <c r="Z16" s="30" t="s">
        <v>68</v>
      </c>
      <c r="AA16">
        <v>0.70696999999999999</v>
      </c>
      <c r="AB16">
        <v>0.45080399999999998</v>
      </c>
      <c r="AC16">
        <v>0.86293200000000003</v>
      </c>
      <c r="AD16">
        <v>0.78510400000000002</v>
      </c>
      <c r="AF16" s="30" t="s">
        <v>64</v>
      </c>
      <c r="AG16">
        <v>0.82394000000000001</v>
      </c>
      <c r="AH16">
        <v>0.70231500000000002</v>
      </c>
      <c r="AI16">
        <v>0.92953200000000002</v>
      </c>
      <c r="AJ16">
        <v>0.92742999999999998</v>
      </c>
      <c r="AM16" t="s">
        <v>67</v>
      </c>
      <c r="AN16">
        <f>AH10/Y10</f>
        <v>1.2030159001679113</v>
      </c>
      <c r="BC16" s="98"/>
      <c r="BF16">
        <v>0.2</v>
      </c>
      <c r="BS16" s="51">
        <v>8.5072231804192103E-3</v>
      </c>
      <c r="BT16" s="183">
        <v>0.17065500635860842</v>
      </c>
      <c r="BU16" s="184">
        <v>8.1672247826009861E-2</v>
      </c>
      <c r="BV16" s="51">
        <v>7.8559416597992995E-2</v>
      </c>
      <c r="BW16" s="183">
        <v>2.5025154034032805E-2</v>
      </c>
      <c r="BX16" s="183">
        <v>0.1250194404912934</v>
      </c>
      <c r="BY16" s="184">
        <v>0.11237907241110534</v>
      </c>
      <c r="BZ16" s="51">
        <v>0.10597938770694966</v>
      </c>
      <c r="CA16" s="184">
        <v>2.2788742057045799E-2</v>
      </c>
      <c r="CH16" s="98"/>
      <c r="CJ16" s="30" t="s">
        <v>111</v>
      </c>
      <c r="CL16" s="51">
        <v>8.1167761522481827E-2</v>
      </c>
      <c r="CM16" s="183">
        <v>4.4278543955660693E-2</v>
      </c>
      <c r="CN16" s="184">
        <v>9.2344993025794422E-2</v>
      </c>
      <c r="CO16" s="51">
        <v>3.1105909650331488E-2</v>
      </c>
      <c r="CP16" s="183">
        <v>1.362097844984156E-3</v>
      </c>
      <c r="CQ16" s="183">
        <v>2.7565260182876729E-2</v>
      </c>
      <c r="CR16" s="184">
        <v>6.2352641158733582E-2</v>
      </c>
      <c r="CS16" s="60">
        <v>4.1898339199606754E-2</v>
      </c>
      <c r="CT16" s="61">
        <v>3.5644201221335006E-2</v>
      </c>
      <c r="DF16" s="98"/>
      <c r="DI16" s="51">
        <v>2.1658203212191831E-2</v>
      </c>
      <c r="DJ16" s="183">
        <v>6.6149845323472706E-2</v>
      </c>
      <c r="DK16" s="184">
        <v>5.7625807062618196E-2</v>
      </c>
      <c r="DL16" s="51">
        <v>8.8371227362829874E-2</v>
      </c>
      <c r="DM16" s="183">
        <v>0.17383605769892549</v>
      </c>
      <c r="DN16" s="183">
        <v>6.8945324507547314E-3</v>
      </c>
      <c r="DO16" s="184">
        <v>0.10909928193602046</v>
      </c>
      <c r="DP16" s="60">
        <v>0.19019810833878736</v>
      </c>
      <c r="DQ16" s="61">
        <v>6.0643314799833849E-2</v>
      </c>
    </row>
    <row r="17" spans="1:121" ht="16.5" thickTop="1" thickBot="1">
      <c r="A17" s="50"/>
      <c r="B17" s="50"/>
      <c r="C17" s="54">
        <f t="shared" ref="C17:K19" si="15">C6</f>
        <v>0.15700900000000001</v>
      </c>
      <c r="D17" s="55">
        <f t="shared" si="15"/>
        <v>6.3945000000000002E-2</v>
      </c>
      <c r="E17" s="56">
        <f t="shared" si="15"/>
        <v>9.7084299999999998E-2</v>
      </c>
      <c r="F17" s="54">
        <f t="shared" si="15"/>
        <v>6.0483200000000001E-2</v>
      </c>
      <c r="G17" s="55">
        <f t="shared" si="15"/>
        <v>0.18598400000000001</v>
      </c>
      <c r="H17" s="55">
        <f t="shared" si="15"/>
        <v>1.6822199999999999E-2</v>
      </c>
      <c r="I17" s="56">
        <f t="shared" si="15"/>
        <v>1.1939699999999999E-2</v>
      </c>
      <c r="J17" s="62">
        <f t="shared" si="15"/>
        <v>0.18378</v>
      </c>
      <c r="K17" s="63">
        <f t="shared" si="15"/>
        <v>7.8904500000000002E-2</v>
      </c>
      <c r="M17" s="30" t="s">
        <v>58</v>
      </c>
      <c r="O17" s="30" t="s">
        <v>60</v>
      </c>
      <c r="Q17" s="30" t="s">
        <v>61</v>
      </c>
      <c r="S17" s="30" t="s">
        <v>112</v>
      </c>
      <c r="T17" s="30" t="s">
        <v>137</v>
      </c>
      <c r="U17">
        <v>0.64222400000000002</v>
      </c>
      <c r="V17">
        <v>1.2282999999999999</v>
      </c>
      <c r="Z17" s="30" t="s">
        <v>149</v>
      </c>
      <c r="AA17">
        <v>1.0504199999999999</v>
      </c>
      <c r="AB17">
        <v>1.4280600000000001</v>
      </c>
      <c r="AF17" s="30" t="s">
        <v>157</v>
      </c>
      <c r="AG17">
        <v>1.2901199999999999</v>
      </c>
      <c r="AH17">
        <v>1.35202</v>
      </c>
      <c r="BC17" s="98"/>
      <c r="BF17" s="51">
        <f ca="1">RAND()*$BF$16</f>
        <v>0.17985649331556411</v>
      </c>
      <c r="BG17" s="51">
        <f t="shared" ref="BG17:BN23" ca="1" si="16">RAND()*$BF$16</f>
        <v>7.6772021226670262E-2</v>
      </c>
      <c r="BH17" s="51">
        <f t="shared" ca="1" si="16"/>
        <v>1.6646697631377449E-2</v>
      </c>
      <c r="BI17" s="51">
        <f t="shared" ca="1" si="16"/>
        <v>0.11473688927185553</v>
      </c>
      <c r="BJ17" s="51">
        <f t="shared" ca="1" si="16"/>
        <v>2.5534937310351859E-2</v>
      </c>
      <c r="BK17" s="51">
        <f t="shared" ca="1" si="16"/>
        <v>7.3904398147590561E-2</v>
      </c>
      <c r="BL17" s="51">
        <f t="shared" ca="1" si="16"/>
        <v>5.9935401820913552E-2</v>
      </c>
      <c r="BM17" s="51">
        <f t="shared" ca="1" si="16"/>
        <v>0.1783729695174984</v>
      </c>
      <c r="BN17" s="51">
        <f t="shared" ca="1" si="16"/>
        <v>3.2456083328094465E-2</v>
      </c>
      <c r="BS17" s="54">
        <v>2.6478026905607167E-2</v>
      </c>
      <c r="BT17" s="55">
        <v>0.19596516544443068</v>
      </c>
      <c r="BU17" s="56">
        <v>0.17486119870985331</v>
      </c>
      <c r="BV17" s="54">
        <v>1.6975494457643459E-2</v>
      </c>
      <c r="BW17" s="55">
        <v>6.4237787687828535E-2</v>
      </c>
      <c r="BX17" s="55">
        <v>9.8170406394597273E-2</v>
      </c>
      <c r="BY17" s="56">
        <v>2.7711958077846256E-2</v>
      </c>
      <c r="BZ17" s="54">
        <v>7.6913815720795323E-2</v>
      </c>
      <c r="CA17" s="56">
        <v>9.5991219632903593E-3</v>
      </c>
      <c r="CH17" s="98"/>
      <c r="CJ17" s="79">
        <v>200</v>
      </c>
      <c r="CL17" s="54">
        <v>6.9763245787685335E-2</v>
      </c>
      <c r="CM17" s="55">
        <v>6.6727995641608473E-2</v>
      </c>
      <c r="CN17" s="56">
        <v>6.4927519186061683E-2</v>
      </c>
      <c r="CO17" s="54">
        <v>3.5572172974420994E-2</v>
      </c>
      <c r="CP17" s="55">
        <v>8.9817435822031836E-3</v>
      </c>
      <c r="CQ17" s="55">
        <v>8.5889111291409845E-2</v>
      </c>
      <c r="CR17" s="56">
        <v>4.1696455640880363E-2</v>
      </c>
      <c r="CS17" s="62">
        <v>3.7866028657019872E-2</v>
      </c>
      <c r="CT17" s="63">
        <v>6.2603353864103095E-2</v>
      </c>
      <c r="DF17" s="98"/>
      <c r="DI17" s="54">
        <v>0.18644963197557773</v>
      </c>
      <c r="DJ17" s="55">
        <v>6.5861559479744262E-3</v>
      </c>
      <c r="DK17" s="56">
        <v>0.1663025028816171</v>
      </c>
      <c r="DL17" s="54">
        <v>7.5616545903622531E-2</v>
      </c>
      <c r="DM17" s="55">
        <v>0.12827006393936258</v>
      </c>
      <c r="DN17" s="55">
        <v>0.1482280775914763</v>
      </c>
      <c r="DO17" s="56">
        <v>8.708979379602387E-2</v>
      </c>
      <c r="DP17" s="62">
        <v>0.19802114884055963</v>
      </c>
      <c r="DQ17" s="63">
        <v>4.5956129885367195E-2</v>
      </c>
    </row>
    <row r="18" spans="1:121" ht="16.5" thickTop="1" thickBot="1">
      <c r="A18" s="50"/>
      <c r="B18" s="50"/>
      <c r="C18" s="57">
        <f t="shared" si="15"/>
        <v>0.117921</v>
      </c>
      <c r="D18" s="58">
        <f t="shared" si="15"/>
        <v>4.3501400000000003E-2</v>
      </c>
      <c r="E18" s="59">
        <f t="shared" si="15"/>
        <v>0.19706499999999999</v>
      </c>
      <c r="F18" s="57">
        <f t="shared" si="15"/>
        <v>8.6274400000000001E-2</v>
      </c>
      <c r="G18" s="58">
        <f t="shared" si="15"/>
        <v>0.103501</v>
      </c>
      <c r="H18" s="58">
        <f t="shared" si="15"/>
        <v>0.12679399999999999</v>
      </c>
      <c r="I18" s="59">
        <f t="shared" si="15"/>
        <v>0.10961</v>
      </c>
      <c r="J18" s="64">
        <f t="shared" si="15"/>
        <v>0.18069499999999999</v>
      </c>
      <c r="K18" s="65">
        <f t="shared" si="15"/>
        <v>0.119685</v>
      </c>
      <c r="M18" s="74">
        <f t="array" ref="M18:M21">MMULT(C19:E22,N5:N7)</f>
        <v>51.821931408288307</v>
      </c>
      <c r="O18">
        <f t="array" ref="O18:O21">MMULT(F19:I22,O5:O8)</f>
        <v>76.584116412800014</v>
      </c>
      <c r="Q18">
        <f t="array" ref="Q18:Q21">MMULT(J19:K22,M5:M6)</f>
        <v>171.52980637399997</v>
      </c>
      <c r="S18">
        <f>M18+O18+Q18</f>
        <v>299.93585419508827</v>
      </c>
      <c r="T18" s="30" t="s">
        <v>289</v>
      </c>
      <c r="U18">
        <f>U3/U15</f>
        <v>2.0604542643497834</v>
      </c>
      <c r="V18">
        <f t="shared" ref="V18:W20" si="17">V3/V15</f>
        <v>2.0604563283908037</v>
      </c>
      <c r="W18">
        <f t="shared" si="17"/>
        <v>2.0604613385490156</v>
      </c>
      <c r="Z18" s="30" t="s">
        <v>289</v>
      </c>
      <c r="AA18">
        <f>AA3/AA15</f>
        <v>2.0604559626311718</v>
      </c>
      <c r="AB18">
        <f t="shared" ref="AB18:AC18" si="18">AB3/AB15</f>
        <v>2.0604575189634753</v>
      </c>
      <c r="AC18">
        <f t="shared" si="18"/>
        <v>2.0604593055004576</v>
      </c>
      <c r="AF18" s="30" t="s">
        <v>289</v>
      </c>
      <c r="AG18">
        <f>AG3/AG15</f>
        <v>2.060455759870274</v>
      </c>
      <c r="AH18">
        <f t="shared" ref="AH18:AI18" si="19">AH3/AH15</f>
        <v>2.0604560990644343</v>
      </c>
      <c r="AI18">
        <f t="shared" si="19"/>
        <v>2.0604488603397448</v>
      </c>
      <c r="BC18" s="98"/>
      <c r="BF18" s="51">
        <f t="shared" ref="BF18:BF23" ca="1" si="20">RAND()*$BF$16</f>
        <v>8.4415856575727061E-2</v>
      </c>
      <c r="BG18" s="51">
        <f t="shared" ca="1" si="16"/>
        <v>0.1259180703895193</v>
      </c>
      <c r="BH18" s="51">
        <f t="shared" ca="1" si="16"/>
        <v>3.7788679440862089E-2</v>
      </c>
      <c r="BI18" s="51">
        <f t="shared" ca="1" si="16"/>
        <v>6.569971281403135E-2</v>
      </c>
      <c r="BJ18" s="51">
        <f t="shared" ca="1" si="16"/>
        <v>0.15907563088686422</v>
      </c>
      <c r="BK18" s="51">
        <f t="shared" ca="1" si="16"/>
        <v>0.1615336888369317</v>
      </c>
      <c r="BL18" s="51">
        <f t="shared" ca="1" si="16"/>
        <v>0.1001736096596952</v>
      </c>
      <c r="BM18" s="51">
        <f t="shared" ca="1" si="16"/>
        <v>7.6231061161382396E-2</v>
      </c>
      <c r="BN18" s="51">
        <f t="shared" ca="1" si="16"/>
        <v>4.6806809100958316E-2</v>
      </c>
      <c r="BS18" s="54">
        <v>2.8867066871971405E-2</v>
      </c>
      <c r="BT18" s="55">
        <v>0.14219615020436485</v>
      </c>
      <c r="BU18" s="56">
        <v>0.1668620525230706</v>
      </c>
      <c r="BV18" s="54">
        <v>0.17922010248984563</v>
      </c>
      <c r="BW18" s="55">
        <v>0.16954844138972264</v>
      </c>
      <c r="BX18" s="55">
        <v>0.15543557697320254</v>
      </c>
      <c r="BY18" s="56">
        <v>1.8678234368295854E-2</v>
      </c>
      <c r="BZ18" s="54">
        <v>0.16626113878106211</v>
      </c>
      <c r="CA18" s="56">
        <v>0.14561263271380831</v>
      </c>
      <c r="CH18" s="98"/>
      <c r="CJ18" s="80">
        <v>600</v>
      </c>
      <c r="CL18" s="57">
        <v>8.2734581419710018E-2</v>
      </c>
      <c r="CM18" s="58">
        <v>8.2974667497862073E-2</v>
      </c>
      <c r="CN18" s="59">
        <v>5.6940888147145423E-2</v>
      </c>
      <c r="CO18" s="57">
        <v>8.5204231420214549E-2</v>
      </c>
      <c r="CP18" s="58">
        <v>4.8609824505728483E-2</v>
      </c>
      <c r="CQ18" s="58">
        <v>3.9941453296429952E-2</v>
      </c>
      <c r="CR18" s="59">
        <v>4.5091218541373747E-2</v>
      </c>
      <c r="CS18" s="64">
        <v>6.6385371540993374E-2</v>
      </c>
      <c r="CT18" s="65">
        <v>8.5770298914825682E-3</v>
      </c>
      <c r="DF18" s="98"/>
      <c r="DI18" s="57">
        <v>4.1012853029683605E-2</v>
      </c>
      <c r="DJ18" s="58">
        <v>2.3819115095645674E-2</v>
      </c>
      <c r="DK18" s="59">
        <v>1.672410737264194E-2</v>
      </c>
      <c r="DL18" s="57">
        <v>9.6089445451752423E-2</v>
      </c>
      <c r="DM18" s="58">
        <v>5.4491666754855755E-2</v>
      </c>
      <c r="DN18" s="58">
        <v>0.10587206303487502</v>
      </c>
      <c r="DO18" s="59">
        <v>0.13504257312358381</v>
      </c>
      <c r="DP18" s="64">
        <v>2.209446727376765E-2</v>
      </c>
      <c r="DQ18" s="65">
        <v>0.12082712572755093</v>
      </c>
    </row>
    <row r="19" spans="1:121" ht="16.5" thickTop="1" thickBot="1">
      <c r="A19" s="50"/>
      <c r="B19" s="50"/>
      <c r="C19" s="51">
        <f>C8</f>
        <v>2.6770499999999999E-2</v>
      </c>
      <c r="D19" s="183">
        <f t="shared" si="15"/>
        <v>1.4959500000000001E-2</v>
      </c>
      <c r="E19" s="184">
        <f t="shared" si="15"/>
        <v>8.3611000000000005E-2</v>
      </c>
      <c r="F19" s="51">
        <f>F8</f>
        <v>1.15964E-2</v>
      </c>
      <c r="G19" s="183">
        <f t="shared" si="15"/>
        <v>6.0136399999999998E-3</v>
      </c>
      <c r="H19" s="183">
        <f t="shared" si="15"/>
        <v>0.17343500000000001</v>
      </c>
      <c r="I19" s="184">
        <f t="shared" si="15"/>
        <v>4.0592900000000001E-2</v>
      </c>
      <c r="J19" s="60">
        <f>J8</f>
        <v>9.0983099999999997E-2</v>
      </c>
      <c r="K19" s="61">
        <f>K8</f>
        <v>0.184646</v>
      </c>
      <c r="M19">
        <v>67.614364338141797</v>
      </c>
      <c r="O19">
        <v>127.2680898384365</v>
      </c>
      <c r="Q19">
        <v>114.06846913699999</v>
      </c>
      <c r="S19">
        <f t="shared" ref="S19:S21" si="21">M19+O19+Q19</f>
        <v>308.9509233135783</v>
      </c>
      <c r="U19">
        <f>U4/U16</f>
        <v>2.0604579573856086</v>
      </c>
      <c r="V19">
        <f t="shared" si="17"/>
        <v>2.0604536892435079</v>
      </c>
      <c r="W19">
        <f t="shared" si="17"/>
        <v>2.0604548529803588</v>
      </c>
      <c r="X19">
        <f>X4/X16</f>
        <v>2.0604585509437068</v>
      </c>
      <c r="AA19">
        <f>AA4/AA16</f>
        <v>2.0604585782326112</v>
      </c>
      <c r="AB19">
        <f t="shared" ref="AB19:AC19" si="22">AB4/AB16</f>
        <v>2.0604557208611567</v>
      </c>
      <c r="AC19">
        <f t="shared" si="22"/>
        <v>2.0604559881716775</v>
      </c>
      <c r="AD19">
        <f>AD4/AD16</f>
        <v>2.0604582550552637</v>
      </c>
      <c r="AG19">
        <f>AG4/AG16</f>
        <v>2.0604577058447502</v>
      </c>
      <c r="AH19">
        <f t="shared" ref="AH19:AI19" si="23">AH4/AH16</f>
        <v>2.0604558071750483</v>
      </c>
      <c r="AI19">
        <f t="shared" si="23"/>
        <v>2.0604570000209832</v>
      </c>
      <c r="AJ19">
        <f>AJ4/AJ16</f>
        <v>2.0604583457415386</v>
      </c>
      <c r="BC19" s="98"/>
      <c r="BF19" s="51">
        <f t="shared" ca="1" si="20"/>
        <v>0.14484636696569808</v>
      </c>
      <c r="BG19" s="51">
        <f t="shared" ca="1" si="16"/>
        <v>3.2780273882340172E-2</v>
      </c>
      <c r="BH19" s="51">
        <f t="shared" ca="1" si="16"/>
        <v>0.12792425471864274</v>
      </c>
      <c r="BI19" s="51">
        <f t="shared" ca="1" si="16"/>
        <v>0.16543036680198064</v>
      </c>
      <c r="BJ19" s="51">
        <f t="shared" ca="1" si="16"/>
        <v>0.17955769783657136</v>
      </c>
      <c r="BK19" s="51">
        <f t="shared" ca="1" si="16"/>
        <v>3.9246417151594187E-2</v>
      </c>
      <c r="BL19" s="51">
        <f t="shared" ca="1" si="16"/>
        <v>2.6685392869257685E-2</v>
      </c>
      <c r="BM19" s="51">
        <f t="shared" ca="1" si="16"/>
        <v>2.8930511049690467E-3</v>
      </c>
      <c r="BN19" s="51">
        <f t="shared" ca="1" si="16"/>
        <v>0.10932475632055319</v>
      </c>
      <c r="BS19" s="57">
        <v>2.9494375853984248E-2</v>
      </c>
      <c r="BT19" s="58">
        <v>0.18254852059193494</v>
      </c>
      <c r="BU19" s="59">
        <v>0.17170578644850193</v>
      </c>
      <c r="BV19" s="57">
        <v>0.17342610272959266</v>
      </c>
      <c r="BW19" s="58">
        <v>3.4430995816942825E-2</v>
      </c>
      <c r="BX19" s="58">
        <v>0.14283594521166973</v>
      </c>
      <c r="BY19" s="59">
        <v>0.11543613742560491</v>
      </c>
      <c r="BZ19" s="57">
        <v>4.2811861833383216E-2</v>
      </c>
      <c r="CA19" s="59">
        <v>0.11831893182996388</v>
      </c>
      <c r="CH19" s="98"/>
      <c r="CL19" s="51">
        <v>6.5493178969874319E-2</v>
      </c>
      <c r="CM19" s="183">
        <v>6.7487759665990105E-2</v>
      </c>
      <c r="CN19" s="184">
        <v>8.0673513214881171E-2</v>
      </c>
      <c r="CO19" s="51">
        <v>4.4223591020130959E-2</v>
      </c>
      <c r="CP19" s="183">
        <v>5.324701725757866E-2</v>
      </c>
      <c r="CQ19" s="183">
        <v>9.5008121377618923E-2</v>
      </c>
      <c r="CR19" s="184">
        <v>6.883576936873341E-2</v>
      </c>
      <c r="CS19" s="60">
        <v>4.6791572486979408E-4</v>
      </c>
      <c r="CT19" s="61">
        <v>8.4714697273607694E-3</v>
      </c>
      <c r="DF19" s="98"/>
      <c r="DI19" s="51">
        <v>0.17548930585655378</v>
      </c>
      <c r="DJ19" s="183">
        <v>1.2417273322108891E-2</v>
      </c>
      <c r="DK19" s="184">
        <v>9.6081899503785984E-2</v>
      </c>
      <c r="DL19" s="51">
        <v>1.2753312843058319E-2</v>
      </c>
      <c r="DM19" s="183">
        <v>0.19808848386524611</v>
      </c>
      <c r="DN19" s="183">
        <v>0.15991485083123932</v>
      </c>
      <c r="DO19" s="184">
        <v>0.17466317588511751</v>
      </c>
      <c r="DP19" s="60">
        <v>1.4023825723970164E-2</v>
      </c>
      <c r="DQ19" s="61">
        <v>9.8733443249068922E-2</v>
      </c>
    </row>
    <row r="20" spans="1:121" ht="16.5" thickTop="1" thickBot="1">
      <c r="A20" s="50"/>
      <c r="B20" s="50"/>
      <c r="C20" s="54">
        <f t="shared" ref="C20:K22" si="24">C9</f>
        <v>1.7635699999999999E-3</v>
      </c>
      <c r="D20" s="55">
        <f t="shared" si="24"/>
        <v>0.18326899999999999</v>
      </c>
      <c r="E20" s="56">
        <f t="shared" si="24"/>
        <v>1.7894199999999999E-2</v>
      </c>
      <c r="F20" s="54">
        <f t="shared" si="24"/>
        <v>8.4802500000000003E-2</v>
      </c>
      <c r="G20" s="55">
        <f t="shared" si="24"/>
        <v>9.6404100000000006E-2</v>
      </c>
      <c r="H20" s="55">
        <f t="shared" si="24"/>
        <v>5.1171699999999999E-3</v>
      </c>
      <c r="I20" s="56">
        <f t="shared" si="24"/>
        <v>0.186969</v>
      </c>
      <c r="J20" s="62">
        <f t="shared" si="24"/>
        <v>2.0617799999999999E-2</v>
      </c>
      <c r="K20" s="63">
        <f t="shared" si="24"/>
        <v>0.13544300000000001</v>
      </c>
      <c r="M20">
        <v>103.8946355572982</v>
      </c>
      <c r="O20">
        <v>68.921158380110555</v>
      </c>
      <c r="Q20">
        <v>149.86423443100003</v>
      </c>
      <c r="S20">
        <f t="shared" si="21"/>
        <v>322.68002836840878</v>
      </c>
      <c r="U20">
        <f>U5/U17</f>
        <v>2.0604573183853736</v>
      </c>
      <c r="V20">
        <f t="shared" si="17"/>
        <v>2.0604629919944069</v>
      </c>
      <c r="AA20">
        <f>AA5/AA17</f>
        <v>2.0604605137620764</v>
      </c>
      <c r="AB20">
        <f t="shared" ref="AB20" si="25">AB5/AB17</f>
        <v>2.0604539663657682</v>
      </c>
      <c r="AG20">
        <f>AG5/AG17</f>
        <v>2.060454948331329</v>
      </c>
      <c r="AH20">
        <f t="shared" ref="AH20" si="26">AH5/AH17</f>
        <v>2.0604646237944686</v>
      </c>
      <c r="BC20" s="98"/>
      <c r="BF20" s="51">
        <f t="shared" ca="1" si="20"/>
        <v>0.10445501475583577</v>
      </c>
      <c r="BG20" s="51">
        <f t="shared" ca="1" si="16"/>
        <v>0.10616024501252004</v>
      </c>
      <c r="BH20" s="51">
        <f t="shared" ca="1" si="16"/>
        <v>9.6525341494666433E-2</v>
      </c>
      <c r="BI20" s="51">
        <f t="shared" ca="1" si="16"/>
        <v>0.11477935898399441</v>
      </c>
      <c r="BJ20" s="51">
        <f t="shared" ca="1" si="16"/>
        <v>5.2703613726686974E-3</v>
      </c>
      <c r="BK20" s="51">
        <f t="shared" ca="1" si="16"/>
        <v>1.2458834180768364E-2</v>
      </c>
      <c r="BL20" s="51">
        <f t="shared" ca="1" si="16"/>
        <v>0.19149290437081029</v>
      </c>
      <c r="BM20" s="51">
        <f t="shared" ca="1" si="16"/>
        <v>4.5243825590613129E-2</v>
      </c>
      <c r="BN20" s="51">
        <f t="shared" ca="1" si="16"/>
        <v>2.0477610502168453E-2</v>
      </c>
      <c r="CH20" s="98"/>
      <c r="CL20" s="54">
        <v>4.1513151955509114E-2</v>
      </c>
      <c r="CM20" s="55">
        <v>8.4805455347120612E-2</v>
      </c>
      <c r="CN20" s="56">
        <v>2.081655132990623E-2</v>
      </c>
      <c r="CO20" s="54">
        <v>1.8769119037065796E-2</v>
      </c>
      <c r="CP20" s="55">
        <v>5.9045372981945635E-2</v>
      </c>
      <c r="CQ20" s="55">
        <v>3.9106596935074837E-2</v>
      </c>
      <c r="CR20" s="56">
        <v>9.5347106348374844E-2</v>
      </c>
      <c r="CS20" s="62">
        <v>6.4176705980807755E-2</v>
      </c>
      <c r="CT20" s="63">
        <v>9.0303317583012896E-2</v>
      </c>
      <c r="DF20" s="98"/>
      <c r="DI20" s="54">
        <v>5.317649694377509E-2</v>
      </c>
      <c r="DJ20" s="55">
        <v>0.12510347939989583</v>
      </c>
      <c r="DK20" s="56">
        <v>8.1510989778442958E-3</v>
      </c>
      <c r="DL20" s="54">
        <v>0.15447284898455901</v>
      </c>
      <c r="DM20" s="55">
        <v>0.17737609184286229</v>
      </c>
      <c r="DN20" s="55">
        <v>3.5554048601772602E-2</v>
      </c>
      <c r="DO20" s="56">
        <v>0.19133380601138072</v>
      </c>
      <c r="DP20" s="62">
        <v>0.14220705095584024</v>
      </c>
      <c r="DQ20" s="63">
        <v>8.1648175180344396E-3</v>
      </c>
    </row>
    <row r="21" spans="1:121" ht="16.5" thickTop="1" thickBot="1">
      <c r="A21" s="50"/>
      <c r="B21" s="50"/>
      <c r="C21" s="54">
        <f t="shared" si="24"/>
        <v>0.12019299999999999</v>
      </c>
      <c r="D21" s="55">
        <f t="shared" si="24"/>
        <v>0.130078</v>
      </c>
      <c r="E21" s="56">
        <f t="shared" si="24"/>
        <v>2.8418599999999999E-2</v>
      </c>
      <c r="F21" s="54">
        <f t="shared" si="24"/>
        <v>0.101023</v>
      </c>
      <c r="G21" s="55">
        <f t="shared" si="24"/>
        <v>1.7499600000000001E-2</v>
      </c>
      <c r="H21" s="55">
        <f t="shared" si="24"/>
        <v>2.44219E-2</v>
      </c>
      <c r="I21" s="56">
        <f t="shared" si="24"/>
        <v>6.7284099999999999E-2</v>
      </c>
      <c r="J21" s="62">
        <f t="shared" si="24"/>
        <v>6.2564400000000006E-2</v>
      </c>
      <c r="K21" s="63">
        <f t="shared" si="24"/>
        <v>0.16669300000000001</v>
      </c>
      <c r="M21">
        <v>88.622376446321169</v>
      </c>
      <c r="O21">
        <v>93.162289856187968</v>
      </c>
      <c r="Q21">
        <v>194.734624575</v>
      </c>
      <c r="S21">
        <f t="shared" si="21"/>
        <v>376.51929087750915</v>
      </c>
      <c r="T21" s="30" t="s">
        <v>292</v>
      </c>
      <c r="U21">
        <f>AVERAGE(U18:U20)</f>
        <v>2.0604565133735884</v>
      </c>
      <c r="AF21" s="30" t="s">
        <v>293</v>
      </c>
      <c r="AG21">
        <f>AVERAGE(AG18:AG20)</f>
        <v>2.0604561380154509</v>
      </c>
      <c r="BC21" s="98"/>
      <c r="BF21" s="51">
        <f t="shared" ca="1" si="20"/>
        <v>7.0138460694571816E-2</v>
      </c>
      <c r="BG21" s="51">
        <f t="shared" ca="1" si="16"/>
        <v>9.3697638162764649E-2</v>
      </c>
      <c r="BH21" s="51">
        <f t="shared" ca="1" si="16"/>
        <v>0.16118670321605644</v>
      </c>
      <c r="BI21" s="51">
        <f t="shared" ca="1" si="16"/>
        <v>1.8341061028925409E-2</v>
      </c>
      <c r="BJ21" s="51">
        <f t="shared" ca="1" si="16"/>
        <v>3.1578382914881867E-2</v>
      </c>
      <c r="BK21" s="51">
        <f t="shared" ca="1" si="16"/>
        <v>8.4099383945782646E-2</v>
      </c>
      <c r="BL21" s="51">
        <f t="shared" ca="1" si="16"/>
        <v>0.13968573155092137</v>
      </c>
      <c r="BM21" s="51">
        <f t="shared" ca="1" si="16"/>
        <v>7.2488340840338686E-2</v>
      </c>
      <c r="BN21" s="51">
        <f t="shared" ca="1" si="16"/>
        <v>0.13158182565758336</v>
      </c>
      <c r="BS21" t="s">
        <v>18</v>
      </c>
      <c r="BT21">
        <v>0.71160599999999996</v>
      </c>
      <c r="CH21" s="98"/>
      <c r="CL21" s="54">
        <v>6.8712943939991167E-2</v>
      </c>
      <c r="CM21" s="55">
        <v>6.8355782389434336E-2</v>
      </c>
      <c r="CN21" s="56">
        <v>1.7055636667409148E-2</v>
      </c>
      <c r="CO21" s="54">
        <v>8.215772119423255E-2</v>
      </c>
      <c r="CP21" s="55">
        <v>1.6682420360552366E-2</v>
      </c>
      <c r="CQ21" s="55">
        <v>3.8882909623707995E-2</v>
      </c>
      <c r="CR21" s="56">
        <v>1.5439170460851859E-2</v>
      </c>
      <c r="CS21" s="62">
        <v>5.2960081489634186E-2</v>
      </c>
      <c r="CT21" s="63">
        <v>7.9272849124783218E-2</v>
      </c>
      <c r="DF21" s="98"/>
      <c r="DI21" s="54">
        <v>0.15042088855815325</v>
      </c>
      <c r="DJ21" s="55">
        <v>9.5907347236873275E-2</v>
      </c>
      <c r="DK21" s="56">
        <v>7.5421774240590272E-3</v>
      </c>
      <c r="DL21" s="54">
        <v>0.14148101939810065</v>
      </c>
      <c r="DM21" s="55">
        <v>3.7343529869431083E-2</v>
      </c>
      <c r="DN21" s="55">
        <v>4.0091862200240108E-2</v>
      </c>
      <c r="DO21" s="56">
        <v>0.17677297945184295</v>
      </c>
      <c r="DP21" s="62">
        <v>5.1449405024751376E-3</v>
      </c>
      <c r="DQ21" s="63">
        <v>8.434783308349969E-2</v>
      </c>
    </row>
    <row r="22" spans="1:121" ht="16.5" thickTop="1" thickBot="1">
      <c r="A22" s="50"/>
      <c r="B22" s="50"/>
      <c r="C22" s="57">
        <f t="shared" si="24"/>
        <v>1.7953299999999998E-2</v>
      </c>
      <c r="D22" s="58">
        <f t="shared" si="24"/>
        <v>5.9709900000000003E-2</v>
      </c>
      <c r="E22" s="59">
        <f t="shared" si="24"/>
        <v>0.144094</v>
      </c>
      <c r="F22" s="57">
        <f t="shared" si="24"/>
        <v>7.4252200000000004E-2</v>
      </c>
      <c r="G22" s="58">
        <f t="shared" si="24"/>
        <v>2.5400900000000001E-3</v>
      </c>
      <c r="H22" s="58">
        <f t="shared" si="24"/>
        <v>0.14081099999999999</v>
      </c>
      <c r="I22" s="59">
        <f t="shared" si="24"/>
        <v>6.5520499999999995E-2</v>
      </c>
      <c r="J22" s="64">
        <f t="shared" si="24"/>
        <v>0.160908</v>
      </c>
      <c r="K22" s="65">
        <f t="shared" si="24"/>
        <v>0.19134899999999999</v>
      </c>
      <c r="AB22" s="30" t="s">
        <v>150</v>
      </c>
      <c r="BC22" s="98"/>
      <c r="BF22" s="51">
        <f t="shared" ca="1" si="20"/>
        <v>0.18669749451401937</v>
      </c>
      <c r="BG22" s="51">
        <f t="shared" ca="1" si="16"/>
        <v>0.12247987276834982</v>
      </c>
      <c r="BH22" s="51">
        <f t="shared" ca="1" si="16"/>
        <v>4.7516405859985782E-2</v>
      </c>
      <c r="BI22" s="51">
        <f t="shared" ca="1" si="16"/>
        <v>0.12123727459403044</v>
      </c>
      <c r="BJ22" s="51">
        <f t="shared" ca="1" si="16"/>
        <v>0.19359019572987793</v>
      </c>
      <c r="BK22" s="51">
        <f t="shared" ca="1" si="16"/>
        <v>1.452530860754E-2</v>
      </c>
      <c r="BL22" s="51">
        <f t="shared" ca="1" si="16"/>
        <v>9.5991827518772554E-2</v>
      </c>
      <c r="BM22" s="51">
        <f t="shared" ca="1" si="16"/>
        <v>0.14252345279825551</v>
      </c>
      <c r="BN22" s="51">
        <f t="shared" ca="1" si="16"/>
        <v>0.16603601352998912</v>
      </c>
      <c r="BS22" t="s">
        <v>16</v>
      </c>
      <c r="BT22">
        <v>0.407584</v>
      </c>
      <c r="CH22" s="98"/>
      <c r="CL22" s="57">
        <v>9.4793198453280075E-2</v>
      </c>
      <c r="CM22" s="58">
        <v>5.1550890082803051E-2</v>
      </c>
      <c r="CN22" s="59">
        <v>4.8611805625135965E-2</v>
      </c>
      <c r="CO22" s="57">
        <v>8.6279647401610593E-2</v>
      </c>
      <c r="CP22" s="58">
        <v>4.0272715852914726E-2</v>
      </c>
      <c r="CQ22" s="58">
        <v>3.5852426594493017E-2</v>
      </c>
      <c r="CR22" s="59">
        <v>7.2788583415963504E-2</v>
      </c>
      <c r="CS22" s="64">
        <v>6.2713811350599169E-2</v>
      </c>
      <c r="CT22" s="65">
        <v>9.4858396684328147E-2</v>
      </c>
      <c r="DF22" s="98"/>
      <c r="DI22" s="57">
        <v>1.976566521362191E-2</v>
      </c>
      <c r="DJ22" s="58">
        <v>0.18954949610328475</v>
      </c>
      <c r="DK22" s="59">
        <v>0.12877302375241725</v>
      </c>
      <c r="DL22" s="57">
        <v>0.13212208489959992</v>
      </c>
      <c r="DM22" s="58">
        <v>1.7357037297897771E-2</v>
      </c>
      <c r="DN22" s="58">
        <v>0.13287249800910494</v>
      </c>
      <c r="DO22" s="59">
        <v>0.16050113331234456</v>
      </c>
      <c r="DP22" s="64">
        <v>0.16206002279655274</v>
      </c>
      <c r="DQ22" s="65">
        <v>4.4079277412279974E-2</v>
      </c>
    </row>
    <row r="23" spans="1:121" ht="15.75" thickTop="1">
      <c r="C23" t="s">
        <v>57</v>
      </c>
      <c r="F23" t="s">
        <v>59</v>
      </c>
      <c r="J23" t="s">
        <v>62</v>
      </c>
      <c r="AB23" s="30" t="s">
        <v>151</v>
      </c>
      <c r="BC23" s="98"/>
      <c r="BF23" s="51">
        <f t="shared" ca="1" si="20"/>
        <v>0.17308533565784892</v>
      </c>
      <c r="BG23" s="51">
        <f t="shared" ca="1" si="16"/>
        <v>0.19794801436060527</v>
      </c>
      <c r="BH23" s="51">
        <f t="shared" ca="1" si="16"/>
        <v>0.14158205948465916</v>
      </c>
      <c r="BI23" s="51">
        <f t="shared" ca="1" si="16"/>
        <v>2.1092338543370916E-2</v>
      </c>
      <c r="BJ23" s="51">
        <f t="shared" ca="1" si="16"/>
        <v>5.8152389339959148E-3</v>
      </c>
      <c r="BK23" s="51">
        <f t="shared" ca="1" si="16"/>
        <v>0.17073865743882277</v>
      </c>
      <c r="BL23" s="51">
        <f t="shared" ca="1" si="16"/>
        <v>0.17203870626694778</v>
      </c>
      <c r="BM23" s="51">
        <f t="shared" ca="1" si="16"/>
        <v>0.19940712464795407</v>
      </c>
      <c r="BN23" s="51">
        <f t="shared" ca="1" si="16"/>
        <v>9.5694781635790715E-3</v>
      </c>
      <c r="CH23" s="98"/>
      <c r="DF23" s="98"/>
    </row>
    <row r="24" spans="1:121">
      <c r="BC24" s="98"/>
      <c r="CH24" s="98"/>
      <c r="DF24" s="98"/>
    </row>
    <row r="25" spans="1:121" ht="15.75" thickBot="1">
      <c r="C25" s="30" t="s">
        <v>115</v>
      </c>
      <c r="K25" s="30" t="s">
        <v>148</v>
      </c>
      <c r="R25" s="30" t="s">
        <v>116</v>
      </c>
      <c r="BC25" s="98"/>
      <c r="CH25" s="98"/>
      <c r="DF25" s="98"/>
    </row>
    <row r="26" spans="1:121" ht="15.75" thickTop="1">
      <c r="K26" s="1"/>
      <c r="L26" s="2" t="s">
        <v>0</v>
      </c>
      <c r="M26" s="2" t="s">
        <v>1</v>
      </c>
      <c r="N26" s="2" t="s">
        <v>2</v>
      </c>
      <c r="O26" s="3" t="s">
        <v>6</v>
      </c>
      <c r="Z26" s="51"/>
      <c r="AA26" s="183"/>
      <c r="AB26" s="384" t="s">
        <v>89</v>
      </c>
      <c r="AC26" s="384"/>
      <c r="AD26" s="384"/>
      <c r="AE26" s="384" t="s">
        <v>92</v>
      </c>
      <c r="AF26" s="384"/>
      <c r="AG26" s="384"/>
      <c r="AH26" s="385"/>
      <c r="BC26" s="98"/>
      <c r="CH26" s="98"/>
      <c r="DF26" s="98"/>
    </row>
    <row r="27" spans="1:121" ht="15.75" thickBot="1">
      <c r="C27" t="s">
        <v>95</v>
      </c>
      <c r="K27" s="4" t="s">
        <v>3</v>
      </c>
      <c r="L27" s="5">
        <v>310.11</v>
      </c>
      <c r="M27" s="5">
        <v>226.34899999999999</v>
      </c>
      <c r="N27" s="5">
        <v>346.10599999999999</v>
      </c>
      <c r="O27" s="88">
        <f>SUM(L27:N27)</f>
        <v>882.56500000000005</v>
      </c>
      <c r="R27" t="s">
        <v>117</v>
      </c>
      <c r="Z27" s="54"/>
      <c r="AA27" s="55"/>
      <c r="AB27" s="55">
        <v>1</v>
      </c>
      <c r="AC27" s="55">
        <v>2</v>
      </c>
      <c r="AD27" s="55">
        <v>3</v>
      </c>
      <c r="AE27" s="55">
        <v>1</v>
      </c>
      <c r="AF27" s="55">
        <v>2</v>
      </c>
      <c r="AG27" s="55">
        <v>3</v>
      </c>
      <c r="AH27" s="56">
        <v>4</v>
      </c>
      <c r="BC27" s="98"/>
      <c r="CH27" s="98"/>
      <c r="DF27" s="98"/>
    </row>
    <row r="28" spans="1:121" ht="15.75" thickTop="1">
      <c r="C28" s="1">
        <f>1-C16</f>
        <v>0.96929489999999996</v>
      </c>
      <c r="D28" s="2">
        <f>-D16</f>
        <v>-0.18762300000000001</v>
      </c>
      <c r="E28" s="3">
        <f>-E16</f>
        <v>-0.13394</v>
      </c>
      <c r="K28" s="4" t="s">
        <v>4</v>
      </c>
      <c r="L28" s="5">
        <v>307.94900000000001</v>
      </c>
      <c r="M28" s="5">
        <v>244.13200000000001</v>
      </c>
      <c r="N28" s="5">
        <v>373.298</v>
      </c>
      <c r="O28" s="90">
        <f t="shared" ref="O28:O30" si="27">SUM(L28:N28)</f>
        <v>925.37900000000002</v>
      </c>
      <c r="R28" t="s">
        <v>18</v>
      </c>
      <c r="S28">
        <f>T87</f>
        <v>1.5290851559643099</v>
      </c>
      <c r="Z28" s="386" t="s">
        <v>152</v>
      </c>
      <c r="AA28" s="55">
        <v>1</v>
      </c>
      <c r="AB28" s="55">
        <f>C16</f>
        <v>3.0705099999999999E-2</v>
      </c>
      <c r="AC28" s="55">
        <f t="shared" ref="AC28:AH34" si="28">D16</f>
        <v>0.18762300000000001</v>
      </c>
      <c r="AD28" s="55">
        <f t="shared" si="28"/>
        <v>0.13394</v>
      </c>
      <c r="AE28" s="55">
        <f t="shared" si="28"/>
        <v>0.16341800000000001</v>
      </c>
      <c r="AF28" s="55">
        <f t="shared" si="28"/>
        <v>7.1685600000000002E-2</v>
      </c>
      <c r="AG28" s="55">
        <f t="shared" si="28"/>
        <v>0.15485099999999999</v>
      </c>
      <c r="AH28" s="56">
        <f t="shared" si="28"/>
        <v>0.19994100000000001</v>
      </c>
      <c r="BC28" s="98"/>
      <c r="CH28" s="98"/>
      <c r="DF28" s="98"/>
    </row>
    <row r="29" spans="1:121">
      <c r="C29" s="4">
        <f>-C17</f>
        <v>-0.15700900000000001</v>
      </c>
      <c r="D29" s="5">
        <f>1-D17</f>
        <v>0.93605499999999997</v>
      </c>
      <c r="E29" s="6">
        <f>-E17</f>
        <v>-9.7084299999999998E-2</v>
      </c>
      <c r="K29" s="4" t="s">
        <v>5</v>
      </c>
      <c r="L29" s="5">
        <v>264.50599999999997</v>
      </c>
      <c r="M29" s="5">
        <v>454.89800000000002</v>
      </c>
      <c r="N29" s="5">
        <v>695.57799999999997</v>
      </c>
      <c r="O29" s="91">
        <f t="shared" si="27"/>
        <v>1414.982</v>
      </c>
      <c r="Z29" s="386"/>
      <c r="AA29" s="55">
        <v>2</v>
      </c>
      <c r="AB29" s="55">
        <f t="shared" ref="AB29:AB34" si="29">C17</f>
        <v>0.15700900000000001</v>
      </c>
      <c r="AC29" s="55">
        <f t="shared" si="28"/>
        <v>6.3945000000000002E-2</v>
      </c>
      <c r="AD29" s="55">
        <f t="shared" si="28"/>
        <v>9.7084299999999998E-2</v>
      </c>
      <c r="AE29" s="55">
        <f t="shared" si="28"/>
        <v>6.0483200000000001E-2</v>
      </c>
      <c r="AF29" s="55">
        <f t="shared" si="28"/>
        <v>0.18598400000000001</v>
      </c>
      <c r="AG29" s="55">
        <f t="shared" si="28"/>
        <v>1.6822199999999999E-2</v>
      </c>
      <c r="AH29" s="56">
        <f t="shared" si="28"/>
        <v>1.1939699999999999E-2</v>
      </c>
      <c r="BC29" s="98"/>
      <c r="CH29" s="98"/>
      <c r="DF29" s="98"/>
    </row>
    <row r="30" spans="1:121" ht="15.75" thickBot="1">
      <c r="C30" s="7">
        <f>-C18</f>
        <v>-0.117921</v>
      </c>
      <c r="D30" s="8">
        <f>-D18</f>
        <v>-4.3501400000000003E-2</v>
      </c>
      <c r="E30" s="9">
        <f>1-E18</f>
        <v>0.80293499999999995</v>
      </c>
      <c r="K30" s="7" t="s">
        <v>17</v>
      </c>
      <c r="L30" s="89">
        <f>SUM(L27:L29)</f>
        <v>882.56499999999994</v>
      </c>
      <c r="M30" s="25">
        <f t="shared" ref="M30:N30" si="30">SUM(M27:M29)</f>
        <v>925.37900000000002</v>
      </c>
      <c r="N30" s="92">
        <f t="shared" si="30"/>
        <v>1414.982</v>
      </c>
      <c r="O30" s="9">
        <f t="shared" si="27"/>
        <v>3222.9259999999999</v>
      </c>
      <c r="R30" t="s">
        <v>119</v>
      </c>
      <c r="Z30" s="386"/>
      <c r="AA30" s="55">
        <v>3</v>
      </c>
      <c r="AB30" s="55">
        <f t="shared" si="29"/>
        <v>0.117921</v>
      </c>
      <c r="AC30" s="55">
        <f t="shared" si="28"/>
        <v>4.3501400000000003E-2</v>
      </c>
      <c r="AD30" s="55">
        <f t="shared" si="28"/>
        <v>0.19706499999999999</v>
      </c>
      <c r="AE30" s="55">
        <f t="shared" si="28"/>
        <v>8.6274400000000001E-2</v>
      </c>
      <c r="AF30" s="55">
        <f t="shared" si="28"/>
        <v>0.103501</v>
      </c>
      <c r="AG30" s="55">
        <f t="shared" si="28"/>
        <v>0.12679399999999999</v>
      </c>
      <c r="AH30" s="56">
        <f t="shared" si="28"/>
        <v>0.10961</v>
      </c>
      <c r="BC30" s="98"/>
      <c r="CH30" s="98"/>
      <c r="DF30" s="98"/>
    </row>
    <row r="31" spans="1:121" ht="15.75" thickTop="1">
      <c r="K31" s="30" t="s">
        <v>288</v>
      </c>
      <c r="R31" s="1">
        <f t="array" ref="R31:T33">MMULT(C38:F40,C19:E22)</f>
        <v>3.4323408605783118E-2</v>
      </c>
      <c r="S31" s="2">
        <v>6.994716600873882E-2</v>
      </c>
      <c r="T31" s="3">
        <v>6.1111553288082709E-2</v>
      </c>
      <c r="Z31" s="386" t="s">
        <v>92</v>
      </c>
      <c r="AA31" s="55">
        <v>1</v>
      </c>
      <c r="AB31" s="55">
        <f t="shared" si="29"/>
        <v>2.6770499999999999E-2</v>
      </c>
      <c r="AC31" s="55">
        <f t="shared" si="28"/>
        <v>1.4959500000000001E-2</v>
      </c>
      <c r="AD31" s="55">
        <f t="shared" si="28"/>
        <v>8.3611000000000005E-2</v>
      </c>
      <c r="AE31" s="55">
        <f t="shared" si="28"/>
        <v>1.15964E-2</v>
      </c>
      <c r="AF31" s="55">
        <f t="shared" si="28"/>
        <v>6.0136399999999998E-3</v>
      </c>
      <c r="AG31" s="55">
        <f t="shared" si="28"/>
        <v>0.17343500000000001</v>
      </c>
      <c r="AH31" s="56">
        <f t="shared" si="28"/>
        <v>4.0592900000000001E-2</v>
      </c>
      <c r="BC31" s="98"/>
      <c r="CH31" s="98"/>
      <c r="DF31" s="98"/>
    </row>
    <row r="32" spans="1:121" ht="15.75" thickBot="1">
      <c r="C32" t="s">
        <v>96</v>
      </c>
      <c r="K32" s="30" t="s">
        <v>290</v>
      </c>
      <c r="R32" s="4">
        <v>1.3369031234845369E-2</v>
      </c>
      <c r="S32" s="5">
        <v>5.9202912522569519E-2</v>
      </c>
      <c r="T32" s="6">
        <v>2.6312454894403925E-2</v>
      </c>
      <c r="Z32" s="386"/>
      <c r="AA32" s="55">
        <v>2</v>
      </c>
      <c r="AB32" s="55">
        <f t="shared" si="29"/>
        <v>1.7635699999999999E-3</v>
      </c>
      <c r="AC32" s="55">
        <f t="shared" si="28"/>
        <v>0.18326899999999999</v>
      </c>
      <c r="AD32" s="55">
        <f t="shared" si="28"/>
        <v>1.7894199999999999E-2</v>
      </c>
      <c r="AE32" s="55">
        <f t="shared" si="28"/>
        <v>8.4802500000000003E-2</v>
      </c>
      <c r="AF32" s="55">
        <f t="shared" si="28"/>
        <v>9.6404100000000006E-2</v>
      </c>
      <c r="AG32" s="55">
        <f t="shared" si="28"/>
        <v>5.1171699999999999E-3</v>
      </c>
      <c r="AH32" s="56">
        <f t="shared" si="28"/>
        <v>0.186969</v>
      </c>
      <c r="BC32" s="98"/>
      <c r="CH32" s="98"/>
      <c r="DF32" s="98"/>
    </row>
    <row r="33" spans="3:110" ht="16.5" thickTop="1" thickBot="1">
      <c r="C33" s="1">
        <f t="array" ref="C33:E35">MINVERSE(C28:E30)</f>
        <v>1.0943719082518955</v>
      </c>
      <c r="D33" s="2">
        <v>0.2291274881635392</v>
      </c>
      <c r="E33" s="3">
        <v>0.210259678791402</v>
      </c>
      <c r="K33" s="1"/>
      <c r="L33" s="2" t="s">
        <v>8</v>
      </c>
      <c r="M33" s="2" t="s">
        <v>9</v>
      </c>
      <c r="N33" s="2" t="s">
        <v>10</v>
      </c>
      <c r="O33" s="3" t="s">
        <v>11</v>
      </c>
      <c r="R33" s="7">
        <v>3.0299806061925373E-2</v>
      </c>
      <c r="S33" s="8">
        <v>6.7403598134999465E-2</v>
      </c>
      <c r="T33" s="9">
        <v>4.5849255371390493E-2</v>
      </c>
      <c r="Z33" s="386"/>
      <c r="AA33" s="55">
        <v>3</v>
      </c>
      <c r="AB33" s="55">
        <f t="shared" si="29"/>
        <v>0.12019299999999999</v>
      </c>
      <c r="AC33" s="55">
        <f t="shared" si="28"/>
        <v>0.130078</v>
      </c>
      <c r="AD33" s="55">
        <f t="shared" si="28"/>
        <v>2.8418599999999999E-2</v>
      </c>
      <c r="AE33" s="55">
        <f t="shared" si="28"/>
        <v>0.101023</v>
      </c>
      <c r="AF33" s="55">
        <f t="shared" si="28"/>
        <v>1.7499600000000001E-2</v>
      </c>
      <c r="AG33" s="55">
        <f t="shared" si="28"/>
        <v>2.44219E-2</v>
      </c>
      <c r="AH33" s="56">
        <f t="shared" si="28"/>
        <v>6.7284099999999999E-2</v>
      </c>
      <c r="BC33" s="98"/>
      <c r="CH33" s="98"/>
      <c r="DF33" s="98"/>
    </row>
    <row r="34" spans="3:110" ht="16.5" thickTop="1" thickBot="1">
      <c r="C34" s="4">
        <v>0.20136528591768599</v>
      </c>
      <c r="D34" s="5">
        <v>1.1165098634134718</v>
      </c>
      <c r="E34" s="6">
        <v>0.1685895432736241</v>
      </c>
      <c r="K34" s="4" t="s">
        <v>3</v>
      </c>
      <c r="L34" s="5">
        <v>368.95499999999998</v>
      </c>
      <c r="M34" s="5">
        <v>268.94900000000001</v>
      </c>
      <c r="N34" s="5">
        <v>416.42099999999999</v>
      </c>
      <c r="O34" s="88">
        <f>SUM(L34:N34)</f>
        <v>1054.325</v>
      </c>
      <c r="Z34" s="387"/>
      <c r="AA34" s="58">
        <v>4</v>
      </c>
      <c r="AB34" s="58">
        <f t="shared" si="29"/>
        <v>1.7953299999999998E-2</v>
      </c>
      <c r="AC34" s="58">
        <f t="shared" si="28"/>
        <v>5.9709900000000003E-2</v>
      </c>
      <c r="AD34" s="58">
        <f t="shared" si="28"/>
        <v>0.144094</v>
      </c>
      <c r="AE34" s="58">
        <f t="shared" si="28"/>
        <v>7.4252200000000004E-2</v>
      </c>
      <c r="AF34" s="58">
        <f t="shared" si="28"/>
        <v>2.5400900000000001E-3</v>
      </c>
      <c r="AG34" s="58">
        <f t="shared" si="28"/>
        <v>0.14081099999999999</v>
      </c>
      <c r="AH34" s="59">
        <f t="shared" si="28"/>
        <v>6.5520499999999995E-2</v>
      </c>
      <c r="BC34" s="98"/>
      <c r="CH34" s="98"/>
      <c r="DF34" s="98"/>
    </row>
    <row r="35" spans="3:110" ht="16.5" thickTop="1" thickBot="1">
      <c r="C35" s="7">
        <v>0.1716317032409739</v>
      </c>
      <c r="D35" s="8">
        <v>9.4140478001366878E-2</v>
      </c>
      <c r="E35" s="9">
        <v>1.2854439185494768</v>
      </c>
      <c r="K35" s="4" t="s">
        <v>4</v>
      </c>
      <c r="L35" s="5">
        <v>370.60399999999998</v>
      </c>
      <c r="M35" s="5">
        <v>302.94799999999998</v>
      </c>
      <c r="N35" s="5">
        <v>439.69299999999998</v>
      </c>
      <c r="O35" s="90">
        <f t="shared" ref="O35:O37" si="31">SUM(L35:N35)</f>
        <v>1113.2449999999999</v>
      </c>
      <c r="R35" t="s">
        <v>118</v>
      </c>
      <c r="BC35" s="98"/>
      <c r="CH35" s="98"/>
      <c r="DF35" s="98"/>
    </row>
    <row r="36" spans="3:110" ht="15.75" thickTop="1">
      <c r="K36" s="4" t="s">
        <v>5</v>
      </c>
      <c r="L36" s="5">
        <v>314.76600000000002</v>
      </c>
      <c r="M36" s="5">
        <v>541.34799999999996</v>
      </c>
      <c r="N36" s="5">
        <v>558.86800000000005</v>
      </c>
      <c r="O36" s="91">
        <f t="shared" si="31"/>
        <v>1414.982</v>
      </c>
      <c r="R36" s="1">
        <f>1/(1+$S$28)</f>
        <v>0.39539989297778783</v>
      </c>
      <c r="S36" s="2">
        <v>0</v>
      </c>
      <c r="T36" s="3">
        <v>0</v>
      </c>
      <c r="AA36" t="s">
        <v>16</v>
      </c>
      <c r="AB36" s="74">
        <f>1/AB37-1</f>
        <v>0.65279648086623987</v>
      </c>
      <c r="BC36" s="98"/>
      <c r="CH36" s="98"/>
      <c r="DF36" s="98"/>
    </row>
    <row r="37" spans="3:110" ht="15.75" thickBot="1">
      <c r="C37" t="s">
        <v>97</v>
      </c>
      <c r="H37" t="s">
        <v>101</v>
      </c>
      <c r="K37" s="7" t="s">
        <v>17</v>
      </c>
      <c r="L37" s="89">
        <f>SUM(L34:L36)</f>
        <v>1054.325</v>
      </c>
      <c r="M37" s="25">
        <f t="shared" ref="M37:N37" si="32">SUM(M34:M36)</f>
        <v>1113.2449999999999</v>
      </c>
      <c r="N37" s="92">
        <f t="shared" si="32"/>
        <v>1414.982</v>
      </c>
      <c r="O37" s="9">
        <f t="shared" si="31"/>
        <v>3582.5519999999997</v>
      </c>
      <c r="R37" s="4">
        <v>0</v>
      </c>
      <c r="S37" s="5">
        <f>1/(1+$S$28)</f>
        <v>0.39539989297778783</v>
      </c>
      <c r="T37" s="6">
        <v>0</v>
      </c>
      <c r="AA37" t="s">
        <v>65</v>
      </c>
      <c r="AB37">
        <v>0.60503517013534203</v>
      </c>
      <c r="BC37" s="98"/>
      <c r="CH37" s="98"/>
      <c r="DF37" s="98"/>
    </row>
    <row r="38" spans="3:110" ht="16.5" thickTop="1" thickBot="1">
      <c r="C38" s="51">
        <f t="array" ref="C38:F40">MMULT(C33:E35,F16:I18)</f>
        <v>0.21083845982672217</v>
      </c>
      <c r="D38" s="183">
        <v>0.14282684063937867</v>
      </c>
      <c r="E38" s="183">
        <v>0.19997867850877599</v>
      </c>
      <c r="F38" s="184">
        <v>0.24459209057054401</v>
      </c>
      <c r="H38" s="60">
        <f t="array" ref="H38:I40">MMULT(C33:E35,J16:K18)</f>
        <v>0.26430441328705012</v>
      </c>
      <c r="I38" s="61">
        <v>0.10192904706562103</v>
      </c>
      <c r="K38" s="210" t="s">
        <v>291</v>
      </c>
      <c r="L38" s="121"/>
      <c r="M38" s="121"/>
      <c r="N38" s="30" t="s">
        <v>292</v>
      </c>
      <c r="O38">
        <f>U21</f>
        <v>2.0604565133735884</v>
      </c>
      <c r="R38" s="7">
        <v>0</v>
      </c>
      <c r="S38" s="8">
        <v>0</v>
      </c>
      <c r="T38" s="9">
        <f>1/(1+$S$28)</f>
        <v>0.39539989297778783</v>
      </c>
      <c r="AJ38" s="30" t="s">
        <v>155</v>
      </c>
      <c r="BC38" s="98"/>
      <c r="CH38" s="98"/>
      <c r="DF38" s="98"/>
    </row>
    <row r="39" spans="3:110" ht="16.5" thickTop="1" thickBot="1">
      <c r="C39" s="54">
        <v>0.11498176335711208</v>
      </c>
      <c r="D39" s="55">
        <v>0.23953714809563539</v>
      </c>
      <c r="E39" s="55">
        <v>7.1339910663789585E-2</v>
      </c>
      <c r="F39" s="56">
        <v>7.2071069286087822E-2</v>
      </c>
      <c r="H39" s="62">
        <v>0.26954887241504843</v>
      </c>
      <c r="I39" s="63">
        <v>0.11907336450604776</v>
      </c>
      <c r="K39" s="30" t="s">
        <v>148</v>
      </c>
      <c r="AB39" t="s">
        <v>153</v>
      </c>
      <c r="AK39">
        <v>1</v>
      </c>
      <c r="AL39">
        <v>2</v>
      </c>
      <c r="AM39">
        <v>3</v>
      </c>
      <c r="AN39">
        <v>1</v>
      </c>
      <c r="AO39">
        <v>2</v>
      </c>
      <c r="AP39">
        <v>3</v>
      </c>
      <c r="AQ39">
        <v>4</v>
      </c>
      <c r="BC39" s="98"/>
      <c r="CH39" s="98"/>
      <c r="DF39" s="98"/>
    </row>
    <row r="40" spans="3:110" ht="16.5" thickTop="1" thickBot="1">
      <c r="C40" s="57">
        <v>0.14464252984579073</v>
      </c>
      <c r="D40" s="58">
        <v>0.16285687530024676</v>
      </c>
      <c r="E40" s="58">
        <v>0.19114756703616501</v>
      </c>
      <c r="F40" s="59">
        <v>0.17633773135510464</v>
      </c>
      <c r="H40" s="64">
        <v>0.27846313093550312</v>
      </c>
      <c r="I40" s="65">
        <v>0.17048009268215794</v>
      </c>
      <c r="K40" s="1"/>
      <c r="L40" s="2" t="s">
        <v>0</v>
      </c>
      <c r="M40" s="2" t="s">
        <v>1</v>
      </c>
      <c r="N40" s="2" t="s">
        <v>2</v>
      </c>
      <c r="O40" s="3" t="s">
        <v>6</v>
      </c>
      <c r="R40" t="s">
        <v>120</v>
      </c>
      <c r="AB40" s="1">
        <f>AB28-$AB$37</f>
        <v>-0.57433007013534199</v>
      </c>
      <c r="AC40" s="2">
        <f>AC28</f>
        <v>0.18762300000000001</v>
      </c>
      <c r="AD40" s="2">
        <f t="shared" ref="AD40:AH45" si="33">AD28</f>
        <v>0.13394</v>
      </c>
      <c r="AE40" s="2">
        <f t="shared" si="33"/>
        <v>0.16341800000000001</v>
      </c>
      <c r="AF40" s="2">
        <f t="shared" si="33"/>
        <v>7.1685600000000002E-2</v>
      </c>
      <c r="AG40" s="2">
        <f t="shared" si="33"/>
        <v>0.15485099999999999</v>
      </c>
      <c r="AH40" s="3">
        <f t="shared" si="33"/>
        <v>0.19994100000000001</v>
      </c>
      <c r="AJ40" t="s">
        <v>156</v>
      </c>
      <c r="AK40">
        <v>1</v>
      </c>
      <c r="AL40">
        <v>1</v>
      </c>
      <c r="AM40">
        <v>1</v>
      </c>
      <c r="AN40">
        <v>1</v>
      </c>
      <c r="AO40">
        <v>1</v>
      </c>
      <c r="AP40">
        <v>1</v>
      </c>
      <c r="AQ40">
        <v>1</v>
      </c>
      <c r="BC40" s="98"/>
      <c r="CH40" s="98"/>
      <c r="DF40" s="98"/>
    </row>
    <row r="41" spans="3:110" ht="15.75" thickTop="1">
      <c r="K41" s="4" t="s">
        <v>3</v>
      </c>
      <c r="L41" s="5">
        <f>L27*$O$38</f>
        <v>638.96816936228356</v>
      </c>
      <c r="M41" s="5">
        <f t="shared" ref="M41:N41" si="34">M27*$O$38</f>
        <v>466.38227134559833</v>
      </c>
      <c r="N41" s="5">
        <f t="shared" si="34"/>
        <v>713.13636201767918</v>
      </c>
      <c r="O41" s="88">
        <f>SUM(L41:N41)</f>
        <v>1818.4868027255611</v>
      </c>
      <c r="R41" s="1">
        <f>R36-R31</f>
        <v>0.36107648437200468</v>
      </c>
      <c r="S41" s="2">
        <f t="shared" ref="S41:T41" si="35">S36-S31</f>
        <v>-6.994716600873882E-2</v>
      </c>
      <c r="T41" s="3">
        <f t="shared" si="35"/>
        <v>-6.1111553288082709E-2</v>
      </c>
      <c r="AB41" s="4">
        <f>AB29</f>
        <v>0.15700900000000001</v>
      </c>
      <c r="AC41" s="5">
        <f>AC29-$AB$37</f>
        <v>-0.541090170135342</v>
      </c>
      <c r="AD41" s="5">
        <f t="shared" si="33"/>
        <v>9.7084299999999998E-2</v>
      </c>
      <c r="AE41" s="5">
        <f t="shared" si="33"/>
        <v>6.0483200000000001E-2</v>
      </c>
      <c r="AF41" s="5">
        <f t="shared" si="33"/>
        <v>0.18598400000000001</v>
      </c>
      <c r="AG41" s="5">
        <f t="shared" si="33"/>
        <v>1.6822199999999999E-2</v>
      </c>
      <c r="AH41" s="6">
        <f t="shared" si="33"/>
        <v>1.1939699999999999E-2</v>
      </c>
      <c r="BC41" s="98"/>
      <c r="CH41" s="98"/>
      <c r="DF41" s="98"/>
    </row>
    <row r="42" spans="3:110" ht="15.75" thickBot="1">
      <c r="C42" t="s">
        <v>98</v>
      </c>
      <c r="H42" t="s">
        <v>102</v>
      </c>
      <c r="K42" s="4" t="s">
        <v>4</v>
      </c>
      <c r="L42" s="5">
        <f t="shared" ref="L42:N42" si="36">L28*$O$38</f>
        <v>634.51552283688318</v>
      </c>
      <c r="M42" s="5">
        <f t="shared" si="36"/>
        <v>503.02336952292086</v>
      </c>
      <c r="N42" s="5">
        <f t="shared" si="36"/>
        <v>769.1642955293338</v>
      </c>
      <c r="O42" s="90">
        <f t="shared" ref="O42:O44" si="37">SUM(L42:N42)</f>
        <v>1906.703187889138</v>
      </c>
      <c r="R42" s="4">
        <f t="shared" ref="R42:T43" si="38">R37-R32</f>
        <v>-1.3369031234845369E-2</v>
      </c>
      <c r="S42" s="5">
        <f t="shared" si="38"/>
        <v>0.33619698045521829</v>
      </c>
      <c r="T42" s="6">
        <f t="shared" si="38"/>
        <v>-2.6312454894403925E-2</v>
      </c>
      <c r="AB42" s="4">
        <f t="shared" ref="AB42:AG46" si="39">AB30</f>
        <v>0.117921</v>
      </c>
      <c r="AC42" s="5">
        <f t="shared" si="39"/>
        <v>4.3501400000000003E-2</v>
      </c>
      <c r="AD42" s="5">
        <f>AD30-$AB$37</f>
        <v>-0.40797017013534204</v>
      </c>
      <c r="AE42" s="5">
        <f t="shared" si="33"/>
        <v>8.6274400000000001E-2</v>
      </c>
      <c r="AF42" s="5">
        <f t="shared" si="33"/>
        <v>0.103501</v>
      </c>
      <c r="AG42" s="5">
        <f t="shared" si="33"/>
        <v>0.12679399999999999</v>
      </c>
      <c r="AH42" s="6">
        <f t="shared" si="33"/>
        <v>0.10961</v>
      </c>
      <c r="AJ42" t="s">
        <v>156</v>
      </c>
      <c r="AK42">
        <f t="array" ref="AK42:AQ42">MMULT(AK40:AQ40,AB$28:AH$34)/$AB$37</f>
        <v>0.78064134667468399</v>
      </c>
      <c r="AL42">
        <v>1.1290018063697003</v>
      </c>
      <c r="AM42">
        <v>1.1604401440712009</v>
      </c>
      <c r="AN42">
        <v>0.96167913655307746</v>
      </c>
      <c r="AO42">
        <v>0.79933870603227219</v>
      </c>
      <c r="AP42">
        <v>1.0615122916843542</v>
      </c>
      <c r="AQ42">
        <v>1.1269711806133078</v>
      </c>
      <c r="BC42" s="98"/>
      <c r="DF42" s="98"/>
    </row>
    <row r="43" spans="3:110" ht="16.5" thickTop="1" thickBot="1">
      <c r="C43" s="51">
        <f t="array" ref="C43:F46">MMULT(C19:E22,C38:F40)</f>
        <v>1.9458027240668394E-2</v>
      </c>
      <c r="D43" s="183">
        <v>2.1023528105002076E-2</v>
      </c>
      <c r="E43" s="183">
        <v>2.2402777834054942E-2</v>
      </c>
      <c r="F43" s="184">
        <v>2.2369773777935635E-2</v>
      </c>
      <c r="H43" s="60">
        <f t="array" ref="H43:I46">MMULT(C19:E22,H38:I40)</f>
        <v>3.4390458493442244E-2</v>
      </c>
      <c r="I43" s="61">
        <v>1.8763980580046337E-2</v>
      </c>
      <c r="K43" s="4" t="s">
        <v>5</v>
      </c>
      <c r="L43" s="5">
        <f t="shared" ref="L43:N43" si="40">L29*$O$38</f>
        <v>545.00311052639427</v>
      </c>
      <c r="M43" s="5">
        <f t="shared" si="40"/>
        <v>937.29754702061871</v>
      </c>
      <c r="N43" s="5">
        <f t="shared" si="40"/>
        <v>1433.2082206593739</v>
      </c>
      <c r="O43" s="91">
        <f t="shared" si="37"/>
        <v>2915.5088782063867</v>
      </c>
      <c r="R43" s="7">
        <f t="shared" si="38"/>
        <v>-3.0299806061925373E-2</v>
      </c>
      <c r="S43" s="8">
        <f t="shared" si="38"/>
        <v>-6.7403598134999465E-2</v>
      </c>
      <c r="T43" s="9">
        <f t="shared" si="38"/>
        <v>0.34955063760639732</v>
      </c>
      <c r="AB43" s="4">
        <f t="shared" si="39"/>
        <v>2.6770499999999999E-2</v>
      </c>
      <c r="AC43" s="5">
        <f t="shared" si="39"/>
        <v>1.4959500000000001E-2</v>
      </c>
      <c r="AD43" s="5">
        <f t="shared" si="39"/>
        <v>8.3611000000000005E-2</v>
      </c>
      <c r="AE43" s="5">
        <f>AE31-$AB$37</f>
        <v>-0.59343877013534208</v>
      </c>
      <c r="AF43" s="5">
        <f t="shared" si="33"/>
        <v>6.0136399999999998E-3</v>
      </c>
      <c r="AG43" s="5">
        <f t="shared" si="33"/>
        <v>0.17343500000000001</v>
      </c>
      <c r="AH43" s="6">
        <f t="shared" si="33"/>
        <v>4.0592900000000001E-2</v>
      </c>
      <c r="AK43">
        <f>AK42/$AK42</f>
        <v>1</v>
      </c>
      <c r="AL43">
        <f t="shared" ref="AL43:AP43" si="41">AL42/$AK42</f>
        <v>1.4462490504492689</v>
      </c>
      <c r="AM43">
        <f t="shared" si="41"/>
        <v>1.4865214980148753</v>
      </c>
      <c r="AN43">
        <f t="shared" si="41"/>
        <v>1.2319090458756308</v>
      </c>
      <c r="AO43">
        <f t="shared" si="41"/>
        <v>1.0239512798511554</v>
      </c>
      <c r="AP43">
        <f t="shared" si="41"/>
        <v>1.35979511744555</v>
      </c>
      <c r="AQ43">
        <f>AQ42/$AK42</f>
        <v>1.443647822926486</v>
      </c>
      <c r="BC43" s="98"/>
      <c r="DF43" s="98"/>
    </row>
    <row r="44" spans="3:110" ht="16.5" thickTop="1" thickBot="1">
      <c r="C44" s="54">
        <v>2.4032683528857735E-2</v>
      </c>
      <c r="D44" s="55">
        <v>4.7065812223683064E-2</v>
      </c>
      <c r="E44" s="55">
        <v>1.6847503279558317E-2</v>
      </c>
      <c r="F44" s="56">
        <v>1.6795170702574035E-2</v>
      </c>
      <c r="H44" s="62">
        <v>5.4848946590360229E-2</v>
      </c>
      <c r="I44" s="63">
        <v>2.5052820323665452E-2</v>
      </c>
      <c r="K44" s="7" t="s">
        <v>17</v>
      </c>
      <c r="L44" s="89">
        <f>SUM(L41:L43)</f>
        <v>1818.4868027255611</v>
      </c>
      <c r="M44" s="25">
        <f t="shared" ref="M44" si="42">SUM(M41:M43)</f>
        <v>1906.703187889138</v>
      </c>
      <c r="N44" s="92">
        <f t="shared" ref="N44" si="43">SUM(N41:N43)</f>
        <v>2915.5088782063867</v>
      </c>
      <c r="O44" s="9">
        <f t="shared" si="37"/>
        <v>6640.6988688210859</v>
      </c>
      <c r="AB44" s="4">
        <f t="shared" si="39"/>
        <v>1.7635699999999999E-3</v>
      </c>
      <c r="AC44" s="5">
        <f t="shared" si="39"/>
        <v>0.18326899999999999</v>
      </c>
      <c r="AD44" s="5">
        <f t="shared" si="39"/>
        <v>1.7894199999999999E-2</v>
      </c>
      <c r="AE44" s="5">
        <f t="shared" si="39"/>
        <v>8.4802500000000003E-2</v>
      </c>
      <c r="AF44" s="5">
        <f>AF32-$AB$37</f>
        <v>-0.50863107013534203</v>
      </c>
      <c r="AG44" s="5">
        <f t="shared" si="33"/>
        <v>5.1171699999999999E-3</v>
      </c>
      <c r="AH44" s="6">
        <f t="shared" si="33"/>
        <v>0.186969</v>
      </c>
      <c r="BC44" s="98"/>
      <c r="DF44" s="98"/>
    </row>
    <row r="45" spans="3:110" ht="16.5" thickTop="1" thickBot="1">
      <c r="C45" s="54">
        <v>4.4408443014595227E-2</v>
      </c>
      <c r="D45" s="55">
        <v>5.2953464003360498E-2</v>
      </c>
      <c r="E45" s="55">
        <v>3.8747936453903689E-2</v>
      </c>
      <c r="F45" s="56">
        <v>4.3784389144829301E-2</v>
      </c>
      <c r="H45" s="62">
        <v>7.4743450905018771E-2</v>
      </c>
      <c r="I45" s="63">
        <v>3.2584788624073047E-2</v>
      </c>
      <c r="K45" s="210" t="s">
        <v>291</v>
      </c>
      <c r="N45" s="30" t="s">
        <v>293</v>
      </c>
      <c r="O45">
        <f>AG21</f>
        <v>2.0604561380154509</v>
      </c>
      <c r="R45" t="s">
        <v>121</v>
      </c>
      <c r="AB45" s="4">
        <f t="shared" si="39"/>
        <v>0.12019299999999999</v>
      </c>
      <c r="AC45" s="5">
        <f t="shared" si="39"/>
        <v>0.130078</v>
      </c>
      <c r="AD45" s="5">
        <f t="shared" si="39"/>
        <v>2.8418599999999999E-2</v>
      </c>
      <c r="AE45" s="5">
        <f t="shared" si="39"/>
        <v>0.101023</v>
      </c>
      <c r="AF45" s="5">
        <f t="shared" si="39"/>
        <v>1.7499600000000001E-2</v>
      </c>
      <c r="AG45" s="5">
        <f>AG33-$AB$37</f>
        <v>-0.58061327013534203</v>
      </c>
      <c r="AH45" s="6">
        <f t="shared" si="33"/>
        <v>6.7284099999999999E-2</v>
      </c>
      <c r="AJ45" t="s">
        <v>156</v>
      </c>
      <c r="AK45">
        <f t="array" ref="AK45:AQ45">MMULT(AK43:AQ43,AB$28:AH$34)/$AB$37</f>
        <v>1.086237757821727</v>
      </c>
      <c r="AL45">
        <v>1.3452704386601353</v>
      </c>
      <c r="AM45">
        <v>1.5458239140604759</v>
      </c>
      <c r="AN45">
        <v>1.1979873306054312</v>
      </c>
      <c r="AO45">
        <v>1.0381305105827445</v>
      </c>
      <c r="AP45">
        <v>1.3603312507050735</v>
      </c>
      <c r="AQ45">
        <v>1.3349330195118665</v>
      </c>
      <c r="BC45" s="98"/>
      <c r="DF45" s="98"/>
    </row>
    <row r="46" spans="3:110" ht="16.5" thickTop="1" thickBot="1">
      <c r="C46" s="57">
        <v>3.1492916408283285E-2</v>
      </c>
      <c r="D46" s="58">
        <v>4.0333650866640293E-2</v>
      </c>
      <c r="E46" s="58">
        <v>3.5393193665124577E-2</v>
      </c>
      <c r="F46" s="59">
        <v>3.4103800581487972E-2</v>
      </c>
      <c r="H46" s="64">
        <v>6.0964739029102086E-2</v>
      </c>
      <c r="I46" s="65">
        <v>3.3504979922945738E-2</v>
      </c>
      <c r="K46" s="30" t="s">
        <v>290</v>
      </c>
      <c r="R46" s="1">
        <f t="array" ref="R46:T48">MINVERSE(R41:T43)</f>
        <v>2.8415844232652061</v>
      </c>
      <c r="S46" s="2">
        <v>0.70138940879059486</v>
      </c>
      <c r="T46" s="3">
        <v>0.54958822676642349</v>
      </c>
      <c r="AB46" s="7">
        <f t="shared" si="39"/>
        <v>1.7953299999999998E-2</v>
      </c>
      <c r="AC46" s="8">
        <f t="shared" si="39"/>
        <v>5.9709900000000003E-2</v>
      </c>
      <c r="AD46" s="8">
        <f t="shared" si="39"/>
        <v>0.144094</v>
      </c>
      <c r="AE46" s="8">
        <f t="shared" si="39"/>
        <v>7.4252200000000004E-2</v>
      </c>
      <c r="AF46" s="8">
        <f t="shared" si="39"/>
        <v>2.5400900000000001E-3</v>
      </c>
      <c r="AG46" s="8">
        <f t="shared" si="39"/>
        <v>0.14081099999999999</v>
      </c>
      <c r="AH46" s="9">
        <f>AH34-$AB$37</f>
        <v>-0.53951467013534204</v>
      </c>
      <c r="AK46">
        <f>AK45/$AK45</f>
        <v>1</v>
      </c>
      <c r="AL46">
        <f t="shared" ref="AL46:AP46" si="44">AL45/$AK45</f>
        <v>1.2384677562284854</v>
      </c>
      <c r="AM46">
        <f t="shared" si="44"/>
        <v>1.4230990433994617</v>
      </c>
      <c r="AN46">
        <f t="shared" si="44"/>
        <v>1.1028776361151353</v>
      </c>
      <c r="AO46">
        <f t="shared" si="44"/>
        <v>0.95571204656386299</v>
      </c>
      <c r="AP46">
        <f t="shared" si="44"/>
        <v>1.2523328717950262</v>
      </c>
      <c r="AQ46">
        <f>AQ45/$AK45</f>
        <v>1.2289510375600066</v>
      </c>
      <c r="BC46" s="98"/>
      <c r="DF46" s="98"/>
    </row>
    <row r="47" spans="3:110" ht="15.75" thickTop="1">
      <c r="K47" s="1"/>
      <c r="L47" s="2" t="s">
        <v>8</v>
      </c>
      <c r="M47" s="2" t="s">
        <v>9</v>
      </c>
      <c r="N47" s="2" t="s">
        <v>10</v>
      </c>
      <c r="O47" s="3" t="s">
        <v>11</v>
      </c>
      <c r="R47" s="4">
        <v>0.13430161125880852</v>
      </c>
      <c r="S47" s="5">
        <v>3.0531739723288243</v>
      </c>
      <c r="T47" s="6">
        <v>0.25330774136504625</v>
      </c>
      <c r="BC47" s="98"/>
      <c r="DF47" s="98"/>
    </row>
    <row r="48" spans="3:110" ht="15.75" thickBot="1">
      <c r="C48" t="s">
        <v>99</v>
      </c>
      <c r="H48" t="s">
        <v>103</v>
      </c>
      <c r="K48" s="4" t="s">
        <v>3</v>
      </c>
      <c r="L48" s="5">
        <f>L34*$O$45</f>
        <v>760.21559440149065</v>
      </c>
      <c r="M48" s="5">
        <f t="shared" ref="M48:N48" si="45">M34*$O$45</f>
        <v>554.15761786311748</v>
      </c>
      <c r="N48" s="5">
        <f t="shared" si="45"/>
        <v>858.01720544853208</v>
      </c>
      <c r="O48" s="88">
        <f>SUM(L48:N48)</f>
        <v>2172.3904177131403</v>
      </c>
      <c r="R48" s="7">
        <v>0.27221197311858103</v>
      </c>
      <c r="S48" s="8">
        <v>0.6495392944555175</v>
      </c>
      <c r="T48" s="9">
        <v>2.9573004843218036</v>
      </c>
      <c r="AJ48" t="s">
        <v>156</v>
      </c>
      <c r="AK48">
        <f t="array" ref="AK48:AQ48">MMULT(AK46:AQ46,AB$28:AH$34)/$AB$37</f>
        <v>0.98633004834208027</v>
      </c>
      <c r="AL48">
        <v>1.2505983894183275</v>
      </c>
      <c r="AM48">
        <v>1.4157973829444042</v>
      </c>
      <c r="AN48">
        <v>1.1118435180215089</v>
      </c>
      <c r="AO48">
        <v>0.94724543116582627</v>
      </c>
      <c r="AP48">
        <v>1.2493942604576513</v>
      </c>
      <c r="AQ48">
        <v>1.2543980266650196</v>
      </c>
      <c r="BC48" s="98"/>
      <c r="DF48" s="98"/>
    </row>
    <row r="49" spans="3:110" ht="15.75" thickTop="1">
      <c r="C49" s="51">
        <f>1-F19-C43</f>
        <v>0.96894557275933169</v>
      </c>
      <c r="D49" s="183">
        <f>-D43-G19</f>
        <v>-2.7037168105002077E-2</v>
      </c>
      <c r="E49" s="183">
        <f t="shared" ref="E49:F50" si="46">-E43-H19</f>
        <v>-0.19583777783405495</v>
      </c>
      <c r="F49" s="184">
        <f t="shared" si="46"/>
        <v>-6.2962673777935629E-2</v>
      </c>
      <c r="H49" s="60">
        <f>H43+J19</f>
        <v>0.12537355849344223</v>
      </c>
      <c r="I49" s="61">
        <f>I43+K19</f>
        <v>0.20340998058004633</v>
      </c>
      <c r="K49" s="4" t="s">
        <v>4</v>
      </c>
      <c r="L49" s="5">
        <f t="shared" ref="L49:N49" si="47">L35*$O$45</f>
        <v>763.61328657307808</v>
      </c>
      <c r="M49" s="5">
        <f t="shared" si="47"/>
        <v>624.21106609950482</v>
      </c>
      <c r="N49" s="5">
        <f t="shared" si="47"/>
        <v>905.9681406924276</v>
      </c>
      <c r="O49" s="90">
        <f t="shared" ref="O49:O51" si="48">SUM(L49:N49)</f>
        <v>2293.7924933650102</v>
      </c>
      <c r="AA49" t="s">
        <v>154</v>
      </c>
      <c r="AC49">
        <f>MDETERM(AB40:AH46)</f>
        <v>8.3603649517696733E-9</v>
      </c>
      <c r="AK49">
        <f>AK48/$AK48</f>
        <v>1</v>
      </c>
      <c r="AL49">
        <f t="shared" ref="AL49:AP49" si="49">AL48/$AK48</f>
        <v>1.2679309441301674</v>
      </c>
      <c r="AM49">
        <f t="shared" si="49"/>
        <v>1.4354194980921593</v>
      </c>
      <c r="AN49">
        <f t="shared" si="49"/>
        <v>1.1272530122045901</v>
      </c>
      <c r="AO49">
        <f t="shared" si="49"/>
        <v>0.96037369312437426</v>
      </c>
      <c r="AP49">
        <f t="shared" si="49"/>
        <v>1.2667101266536034</v>
      </c>
      <c r="AQ49">
        <f>AQ48/$AK48</f>
        <v>1.2717832421039328</v>
      </c>
      <c r="BC49" s="98"/>
      <c r="DF49" s="98"/>
    </row>
    <row r="50" spans="3:110" ht="15.75" thickBot="1">
      <c r="C50" s="54">
        <f>-C44-F20</f>
        <v>-0.10883518352885774</v>
      </c>
      <c r="D50" s="55">
        <f>1-G20-D44</f>
        <v>0.8565300877763169</v>
      </c>
      <c r="E50" s="55">
        <f t="shared" si="46"/>
        <v>-2.1964673279558318E-2</v>
      </c>
      <c r="F50" s="56">
        <f>-F44-I20</f>
        <v>-0.20376417070257402</v>
      </c>
      <c r="H50" s="62">
        <f t="shared" ref="H50:I52" si="50">H44+J20</f>
        <v>7.5466746590360234E-2</v>
      </c>
      <c r="I50" s="63">
        <f t="shared" si="50"/>
        <v>0.16049582032366547</v>
      </c>
      <c r="K50" s="4" t="s">
        <v>5</v>
      </c>
      <c r="L50" s="5">
        <f t="shared" ref="L50:N50" si="51">L36*$O$45</f>
        <v>648.56153673857148</v>
      </c>
      <c r="M50" s="5">
        <f t="shared" si="51"/>
        <v>1115.4238094023883</v>
      </c>
      <c r="N50" s="5">
        <f t="shared" si="51"/>
        <v>1151.523000940419</v>
      </c>
      <c r="O50" s="91">
        <f t="shared" si="48"/>
        <v>2915.5083470813788</v>
      </c>
      <c r="R50" t="s">
        <v>122</v>
      </c>
      <c r="BC50" s="98"/>
      <c r="DF50" s="98"/>
    </row>
    <row r="51" spans="3:110" ht="16.5" thickTop="1" thickBot="1">
      <c r="C51" s="54">
        <f>-C45-F21</f>
        <v>-0.14543144301459524</v>
      </c>
      <c r="D51" s="55">
        <f>-D45-G21</f>
        <v>-7.0453064003360502E-2</v>
      </c>
      <c r="E51" s="55">
        <f>1-H21-E45</f>
        <v>0.93683016354609627</v>
      </c>
      <c r="F51" s="56">
        <f>-F45-I21</f>
        <v>-0.11106848914482931</v>
      </c>
      <c r="H51" s="62">
        <f t="shared" si="50"/>
        <v>0.13730785090501879</v>
      </c>
      <c r="I51" s="63">
        <f t="shared" si="50"/>
        <v>0.19927778862407305</v>
      </c>
      <c r="K51" s="7" t="s">
        <v>17</v>
      </c>
      <c r="L51" s="89">
        <f>SUM(L48:L50)</f>
        <v>2172.3904177131399</v>
      </c>
      <c r="M51" s="25">
        <f t="shared" ref="M51" si="52">SUM(M48:M50)</f>
        <v>2293.7924933650106</v>
      </c>
      <c r="N51" s="92">
        <f t="shared" ref="N51" si="53">SUM(N48:N50)</f>
        <v>2915.5083470813788</v>
      </c>
      <c r="O51" s="9">
        <f t="shared" si="48"/>
        <v>7381.6912581595298</v>
      </c>
      <c r="Q51" s="75" t="s">
        <v>123</v>
      </c>
      <c r="R51" s="1">
        <f t="array" ref="R51:T54">MMULT(C19:E22,R46:T48)</f>
        <v>0.10083963604106502</v>
      </c>
      <c r="S51" s="2">
        <v>0.11875913115580194</v>
      </c>
      <c r="T51" s="3">
        <v>0.26576495957623131</v>
      </c>
      <c r="AJ51" t="s">
        <v>156</v>
      </c>
      <c r="AK51">
        <f t="array" ref="AK51:AQ51">MMULT(AK49:AQ49,AB$28:AH$34)/$AB$37</f>
        <v>1.0015962897436994</v>
      </c>
      <c r="AL51">
        <v>1.2639308879671927</v>
      </c>
      <c r="AM51">
        <v>1.4389204263811435</v>
      </c>
      <c r="AN51">
        <v>1.1253233500295496</v>
      </c>
      <c r="AO51">
        <v>0.95999054375084236</v>
      </c>
      <c r="AP51">
        <v>1.2703708238423166</v>
      </c>
      <c r="AQ51">
        <v>1.2665246363844169</v>
      </c>
      <c r="BC51" s="98"/>
      <c r="DF51" s="98"/>
    </row>
    <row r="52" spans="3:110" ht="16.5" thickTop="1" thickBot="1">
      <c r="C52" s="57">
        <f>-C46-F22</f>
        <v>-0.1057451164082833</v>
      </c>
      <c r="D52" s="58">
        <f>-D46-G22</f>
        <v>-4.2873740866640295E-2</v>
      </c>
      <c r="E52" s="58">
        <f>-E46-H22</f>
        <v>-0.17620419366512458</v>
      </c>
      <c r="F52" s="59">
        <f>1-I22-F46</f>
        <v>0.90037569941851203</v>
      </c>
      <c r="H52" s="64">
        <f t="shared" si="50"/>
        <v>0.2218727390291021</v>
      </c>
      <c r="I52" s="65">
        <f t="shared" si="50"/>
        <v>0.22485397992294573</v>
      </c>
      <c r="R52" s="4">
        <v>3.4495670524506909E-2</v>
      </c>
      <c r="S52" s="5">
        <v>0.57241207609723799</v>
      </c>
      <c r="T52" s="6">
        <v>0.10031122008786034</v>
      </c>
      <c r="AK52">
        <f>AK51/$AK51</f>
        <v>1</v>
      </c>
      <c r="AL52">
        <f t="shared" ref="AL52:AP52" si="54">AL51/$AK51</f>
        <v>1.2619165035950988</v>
      </c>
      <c r="AM52">
        <f t="shared" si="54"/>
        <v>1.4366271531909847</v>
      </c>
      <c r="AN52">
        <f t="shared" si="54"/>
        <v>1.1235298708200196</v>
      </c>
      <c r="AO52">
        <f t="shared" si="54"/>
        <v>0.95846056298440996</v>
      </c>
      <c r="AP52">
        <f t="shared" si="54"/>
        <v>1.2683461758503463</v>
      </c>
      <c r="AQ52">
        <f>AQ51/$AK51</f>
        <v>1.2645061182370301</v>
      </c>
      <c r="BC52" s="98"/>
      <c r="DF52" s="98"/>
    </row>
    <row r="53" spans="3:110" ht="15.75" thickTop="1">
      <c r="R53" s="4">
        <v>0.36674412475410589</v>
      </c>
      <c r="S53" s="5">
        <v>0.49991185857677034</v>
      </c>
      <c r="T53" s="6">
        <v>0.18304876166476683</v>
      </c>
      <c r="BC53" s="98"/>
      <c r="DF53" s="98"/>
    </row>
    <row r="54" spans="3:110" ht="15.75" thickBot="1">
      <c r="C54" t="s">
        <v>100</v>
      </c>
      <c r="H54" t="s">
        <v>104</v>
      </c>
      <c r="R54" s="7">
        <v>9.8259065458858375E-2</v>
      </c>
      <c r="S54" s="8">
        <v>0.28849168213847043</v>
      </c>
      <c r="T54" s="9">
        <v>0.45112115820560433</v>
      </c>
      <c r="AJ54" t="s">
        <v>156</v>
      </c>
      <c r="AK54">
        <f t="array" ref="AK54:AQ54">MMULT(AK52:AQ52,AB$28:AH$34)/$AB$37</f>
        <v>1.0002096523040169</v>
      </c>
      <c r="AL54">
        <v>1.2623440796756777</v>
      </c>
      <c r="AM54">
        <v>1.4361213389111691</v>
      </c>
      <c r="AN54">
        <v>1.1239349018096576</v>
      </c>
      <c r="AO54">
        <v>0.9580232634650595</v>
      </c>
      <c r="AP54">
        <v>1.267745671989162</v>
      </c>
      <c r="AQ54">
        <v>1.2651776248186204</v>
      </c>
      <c r="BC54" s="98"/>
      <c r="DF54" s="98"/>
    </row>
    <row r="55" spans="3:110" ht="15.75" thickTop="1">
      <c r="C55" s="51">
        <f t="array" ref="C55:F58">MINVERSE(C49:F52)</f>
        <v>1.0899833793227764</v>
      </c>
      <c r="D55" s="183">
        <v>6.1205965410508698E-2</v>
      </c>
      <c r="E55" s="183">
        <v>0.25207858276679274</v>
      </c>
      <c r="F55" s="184">
        <v>0.12116923871194048</v>
      </c>
      <c r="G55" s="75" t="s">
        <v>63</v>
      </c>
      <c r="H55" s="60">
        <f t="array" ref="H55:I58">MMULT(C55:F58,H49:I52)</f>
        <v>0.20277062938383772</v>
      </c>
      <c r="I55" s="61">
        <v>0.30901584774975083</v>
      </c>
      <c r="AK55">
        <f>AK54/$AK54</f>
        <v>1</v>
      </c>
      <c r="AL55">
        <f t="shared" ref="AL55:AP55" si="55">AL54/$AK54</f>
        <v>1.2620794818044649</v>
      </c>
      <c r="AM55">
        <f t="shared" si="55"/>
        <v>1.4358203158737919</v>
      </c>
      <c r="AN55">
        <f t="shared" si="55"/>
        <v>1.1236993156591075</v>
      </c>
      <c r="AO55">
        <f t="shared" si="55"/>
        <v>0.95782245378078523</v>
      </c>
      <c r="AP55">
        <f t="shared" si="55"/>
        <v>1.2674799418990477</v>
      </c>
      <c r="AQ55">
        <f>AQ54/$AK54</f>
        <v>1.2649124330126595</v>
      </c>
      <c r="BC55" s="98"/>
      <c r="DF55" s="98"/>
    </row>
    <row r="56" spans="3:110" ht="15.75" thickBot="1">
      <c r="C56" s="54">
        <v>0.1857965090338736</v>
      </c>
      <c r="D56" s="55">
        <v>1.1984924818431155</v>
      </c>
      <c r="E56" s="55">
        <v>0.12325714500623568</v>
      </c>
      <c r="F56" s="56">
        <v>0.29942840159910239</v>
      </c>
      <c r="H56" s="62">
        <v>0.19709947120633534</v>
      </c>
      <c r="I56" s="63">
        <v>0.32203597741006085</v>
      </c>
      <c r="R56" t="s">
        <v>124</v>
      </c>
      <c r="BC56" s="98"/>
      <c r="DF56" s="98"/>
    </row>
    <row r="57" spans="3:110" ht="15.75" thickTop="1">
      <c r="C57" s="54">
        <v>0.20414156884918913</v>
      </c>
      <c r="D57" s="55">
        <v>0.10979828251447411</v>
      </c>
      <c r="E57" s="55">
        <v>1.1466408309012255</v>
      </c>
      <c r="F57" s="56">
        <v>0.18057119907841471</v>
      </c>
      <c r="H57" s="62">
        <v>0.23138668886592295</v>
      </c>
      <c r="I57" s="63">
        <v>0.32824879987778988</v>
      </c>
      <c r="R57" s="1">
        <f t="array" ref="R57:U60">MMULT(R51:T54,C38:F40)</f>
        <v>7.3356923964908435E-2</v>
      </c>
      <c r="S57" s="2">
        <v>8.6131481095227891E-2</v>
      </c>
      <c r="T57" s="2">
        <v>7.9438368390423661E-2</v>
      </c>
      <c r="U57" s="3">
        <v>8.0088065006895984E-2</v>
      </c>
      <c r="AJ57" t="s">
        <v>156</v>
      </c>
      <c r="AK57">
        <f t="array" ref="AK57:AQ57">MMULT(AK55:AQ55,AB$28:AH$34)/$AB$37</f>
        <v>0.99994030629062669</v>
      </c>
      <c r="AL57">
        <v>1.2619680607046055</v>
      </c>
      <c r="AM57">
        <v>1.4359453203721537</v>
      </c>
      <c r="AN57">
        <v>1.1236551824441616</v>
      </c>
      <c r="AO57">
        <v>0.95781200109395115</v>
      </c>
      <c r="AP57">
        <v>1.2676838910923185</v>
      </c>
      <c r="AQ57">
        <v>1.2647965201397151</v>
      </c>
      <c r="BC57" s="98"/>
      <c r="DF57" s="98"/>
    </row>
    <row r="58" spans="3:110" ht="15.75" thickBot="1">
      <c r="C58" s="57">
        <v>0.17681153694757015</v>
      </c>
      <c r="D58" s="58">
        <v>8.5745323780408833E-2</v>
      </c>
      <c r="E58" s="58">
        <v>0.25987318089242173</v>
      </c>
      <c r="F58" s="59">
        <v>1.1744742491014237</v>
      </c>
      <c r="H58" s="64">
        <v>0.32490485873432662</v>
      </c>
      <c r="I58" s="65">
        <v>0.36559915941430221</v>
      </c>
      <c r="R58" s="4">
        <v>8.7599232566068969E-2</v>
      </c>
      <c r="S58" s="5">
        <v>0.15837723574165075</v>
      </c>
      <c r="T58" s="5">
        <v>6.6908470643640097E-2</v>
      </c>
      <c r="U58" s="6">
        <v>6.7380371545575149E-2</v>
      </c>
      <c r="AK58">
        <f>AK57/$AK57</f>
        <v>1</v>
      </c>
      <c r="AL58">
        <f t="shared" ref="AL58:AP58" si="56">AL57/$AK57</f>
        <v>1.262043396756348</v>
      </c>
      <c r="AM58">
        <f t="shared" si="56"/>
        <v>1.4360310423918494</v>
      </c>
      <c r="AN58">
        <f t="shared" si="56"/>
        <v>1.1237222615942615</v>
      </c>
      <c r="AO58">
        <f t="shared" si="56"/>
        <v>0.95786917985839126</v>
      </c>
      <c r="AP58">
        <f t="shared" si="56"/>
        <v>1.2677595683635476</v>
      </c>
      <c r="AQ58">
        <f>AQ57/$AK57</f>
        <v>1.2648720250427725</v>
      </c>
      <c r="BC58" s="98"/>
      <c r="DF58" s="98"/>
    </row>
    <row r="59" spans="3:110" ht="15.75" thickTop="1">
      <c r="R59" s="4">
        <v>0.16128114940827429</v>
      </c>
      <c r="S59" s="5">
        <v>0.20193911491665478</v>
      </c>
      <c r="T59" s="5">
        <v>0.1439939981910226</v>
      </c>
      <c r="U59" s="6">
        <v>0.15801029773382075</v>
      </c>
      <c r="BC59" s="98"/>
      <c r="DF59" s="98"/>
    </row>
    <row r="60" spans="3:110" ht="15.75" thickBot="1">
      <c r="H60" s="30" t="s">
        <v>105</v>
      </c>
      <c r="K60" t="s">
        <v>106</v>
      </c>
      <c r="R60" s="7">
        <v>0.1191393779413214</v>
      </c>
      <c r="S60" s="8">
        <v>0.1566066888796214</v>
      </c>
      <c r="T60" s="8">
        <v>0.12646140072251283</v>
      </c>
      <c r="U60" s="9">
        <v>0.12437497585421534</v>
      </c>
      <c r="AJ60" t="s">
        <v>156</v>
      </c>
      <c r="AK60">
        <f t="array" ref="AK60:AQ60">MMULT(AK58:AQ58,AB$28:AH$34)/$AB$37</f>
        <v>1.0000275140648656</v>
      </c>
      <c r="AL60">
        <v>1.2620502487149019</v>
      </c>
      <c r="AM60">
        <v>1.4360162290345833</v>
      </c>
      <c r="AN60">
        <v>1.1237303428134624</v>
      </c>
      <c r="AO60">
        <v>0.95785254823966581</v>
      </c>
      <c r="AP60">
        <v>1.2677359040764209</v>
      </c>
      <c r="AQ60">
        <v>1.2648766832873357</v>
      </c>
      <c r="BC60" s="98"/>
      <c r="DF60" s="98"/>
    </row>
    <row r="61" spans="3:110" ht="15.75" thickTop="1">
      <c r="H61" s="76">
        <f t="array" ref="H61:H64">MMULT(H55:I58,M5:M6)</f>
        <v>299.93585419508827</v>
      </c>
      <c r="K61" s="60">
        <f t="array" ref="K61:L63">MMULT(F16:I18,H55:I58)</f>
        <v>0.1480578270835339</v>
      </c>
      <c r="L61" s="61">
        <v>0.19751201051212608</v>
      </c>
      <c r="AK61">
        <f>AK60/$AK60</f>
        <v>1</v>
      </c>
      <c r="AL61">
        <f t="shared" ref="AL61:AP61" si="57">AL60/$AK60</f>
        <v>1.2620155255378709</v>
      </c>
      <c r="AM61">
        <f t="shared" si="57"/>
        <v>1.435976719477978</v>
      </c>
      <c r="AN61">
        <f t="shared" si="57"/>
        <v>1.123699425274586</v>
      </c>
      <c r="AO61">
        <f t="shared" si="57"/>
        <v>0.95782619454761908</v>
      </c>
      <c r="AP61">
        <f t="shared" si="57"/>
        <v>1.2677010244682034</v>
      </c>
      <c r="AQ61">
        <f>AQ60/$AK60</f>
        <v>1.2648418823457401</v>
      </c>
      <c r="BC61" s="98"/>
      <c r="DF61" s="98"/>
    </row>
    <row r="62" spans="3:110" ht="15.75" thickBot="1">
      <c r="H62" s="77">
        <v>308.95092331357836</v>
      </c>
      <c r="K62" s="62">
        <v>5.6693264283258174E-2</v>
      </c>
      <c r="L62" s="63">
        <v>8.8470817790213596E-2</v>
      </c>
      <c r="R62" t="s">
        <v>125</v>
      </c>
      <c r="BC62" s="98"/>
      <c r="DF62" s="98"/>
    </row>
    <row r="63" spans="3:110" ht="16.5" thickTop="1" thickBot="1">
      <c r="H63" s="77">
        <v>322.68002836840878</v>
      </c>
      <c r="K63" s="64">
        <v>0.10284517215097524</v>
      </c>
      <c r="L63" s="65">
        <v>0.14168450474812594</v>
      </c>
      <c r="R63" s="1">
        <f>R57+1</f>
        <v>1.0733569239649083</v>
      </c>
      <c r="S63" s="2">
        <f>S57</f>
        <v>8.6131481095227891E-2</v>
      </c>
      <c r="T63" s="2">
        <f t="shared" ref="T63:U63" si="58">T57</f>
        <v>7.9438368390423661E-2</v>
      </c>
      <c r="U63" s="3">
        <f t="shared" si="58"/>
        <v>8.0088065006895984E-2</v>
      </c>
      <c r="AJ63" t="s">
        <v>156</v>
      </c>
      <c r="AK63">
        <f t="array" ref="AK63:AQ63">MMULT(AK61:AQ61,AB$28:AH$34)/$AB$37</f>
        <v>0.99999603371462331</v>
      </c>
      <c r="AL63">
        <v>1.2620142509183532</v>
      </c>
      <c r="AM63">
        <v>1.435979707727308</v>
      </c>
      <c r="AN63">
        <v>1.1236998736099948</v>
      </c>
      <c r="AO63">
        <v>0.95782579206593765</v>
      </c>
      <c r="AP63">
        <v>1.26770745708306</v>
      </c>
      <c r="AQ63">
        <v>1.2648417017515148</v>
      </c>
      <c r="BC63" s="98"/>
      <c r="DF63" s="98"/>
    </row>
    <row r="64" spans="3:110" ht="16.5" thickTop="1" thickBot="1">
      <c r="H64" s="78">
        <v>376.51929087750915</v>
      </c>
      <c r="R64" s="4">
        <f t="shared" ref="R64:U66" si="59">R58</f>
        <v>8.7599232566068969E-2</v>
      </c>
      <c r="S64" s="5">
        <f>S58+1</f>
        <v>1.1583772357416509</v>
      </c>
      <c r="T64" s="5">
        <f t="shared" si="59"/>
        <v>6.6908470643640097E-2</v>
      </c>
      <c r="U64" s="6">
        <f t="shared" si="59"/>
        <v>6.7380371545575149E-2</v>
      </c>
      <c r="AK64">
        <f>AK63/$AK63</f>
        <v>1</v>
      </c>
      <c r="AL64">
        <f t="shared" ref="AL64:AP64" si="60">AL63/$AK63</f>
        <v>1.2620192564468751</v>
      </c>
      <c r="AM64">
        <f t="shared" si="60"/>
        <v>1.435985403255214</v>
      </c>
      <c r="AN64">
        <f t="shared" si="60"/>
        <v>1.1237043305420487</v>
      </c>
      <c r="AO64">
        <f t="shared" si="60"/>
        <v>0.95782959109143817</v>
      </c>
      <c r="AP64">
        <f t="shared" si="60"/>
        <v>1.2677124851925519</v>
      </c>
      <c r="AQ64">
        <f>AQ63/$AK63</f>
        <v>1.264846718494558</v>
      </c>
      <c r="BC64" s="98"/>
      <c r="DF64" s="98"/>
    </row>
    <row r="65" spans="2:110" ht="16.5" thickTop="1" thickBot="1">
      <c r="K65" t="s">
        <v>107</v>
      </c>
      <c r="R65" s="4">
        <f t="shared" si="59"/>
        <v>0.16128114940827429</v>
      </c>
      <c r="S65" s="5">
        <f t="shared" si="59"/>
        <v>0.20193911491665478</v>
      </c>
      <c r="T65" s="5">
        <f>T59+1</f>
        <v>1.1439939981910225</v>
      </c>
      <c r="U65" s="6">
        <f t="shared" si="59"/>
        <v>0.15801029773382075</v>
      </c>
      <c r="BC65" s="98"/>
      <c r="DF65" s="98"/>
    </row>
    <row r="66" spans="2:110" ht="16.5" thickTop="1" thickBot="1">
      <c r="K66" s="60">
        <f>K61+J16</f>
        <v>0.3163758270835339</v>
      </c>
      <c r="L66" s="61">
        <f>L61+K16</f>
        <v>0.25113631051212609</v>
      </c>
      <c r="R66" s="7">
        <f t="shared" si="59"/>
        <v>0.1191393779413214</v>
      </c>
      <c r="S66" s="8">
        <f t="shared" si="59"/>
        <v>0.1566066888796214</v>
      </c>
      <c r="T66" s="8">
        <f t="shared" si="59"/>
        <v>0.12646140072251283</v>
      </c>
      <c r="U66" s="9">
        <f>U60+1</f>
        <v>1.1243749758542154</v>
      </c>
      <c r="W66" t="s">
        <v>130</v>
      </c>
      <c r="AJ66" t="s">
        <v>156</v>
      </c>
      <c r="AK66">
        <f t="array" ref="AK66:AQ66">MMULT(AK64:AQ64,AB$28:AH$34)/$AB$37</f>
        <v>1.0000013415319593</v>
      </c>
      <c r="AL66">
        <v>1.2620193609436838</v>
      </c>
      <c r="AM66">
        <v>1.4359856031726426</v>
      </c>
      <c r="AN66">
        <v>1.1237045620238624</v>
      </c>
      <c r="AO66">
        <v>0.95782936615670544</v>
      </c>
      <c r="AP66">
        <v>1.2677124035960325</v>
      </c>
      <c r="AQ66">
        <v>1.2648465254935812</v>
      </c>
      <c r="BC66" s="98"/>
      <c r="DF66" s="98"/>
    </row>
    <row r="67" spans="2:110" ht="15.75" thickTop="1">
      <c r="K67" s="62">
        <f t="shared" ref="K67:L68" si="61">K62+J17</f>
        <v>0.24047326428325816</v>
      </c>
      <c r="L67" s="63">
        <f t="shared" si="61"/>
        <v>0.16737531779021358</v>
      </c>
      <c r="AK67">
        <f>AK66/$AK66</f>
        <v>1</v>
      </c>
      <c r="AL67">
        <f t="shared" ref="AL67:AP67" si="62">AL66/$AK66</f>
        <v>1.262017667906649</v>
      </c>
      <c r="AM67">
        <f t="shared" si="62"/>
        <v>1.4359836767546472</v>
      </c>
      <c r="AN67">
        <f t="shared" si="62"/>
        <v>1.1237030545403019</v>
      </c>
      <c r="AO67">
        <f t="shared" si="62"/>
        <v>0.95782808119972296</v>
      </c>
      <c r="AP67">
        <f t="shared" si="62"/>
        <v>1.2677107029216095</v>
      </c>
      <c r="AQ67">
        <f>AQ66/$AK66</f>
        <v>1.2648448286638201</v>
      </c>
      <c r="BC67" s="98"/>
      <c r="DF67" s="98"/>
    </row>
    <row r="68" spans="2:110" ht="15.75" thickBot="1">
      <c r="K68" s="64">
        <f t="shared" si="61"/>
        <v>0.28354017215097527</v>
      </c>
      <c r="L68" s="65">
        <f t="shared" si="61"/>
        <v>0.26136950474812592</v>
      </c>
      <c r="R68" t="s">
        <v>126</v>
      </c>
      <c r="W68" t="s">
        <v>131</v>
      </c>
      <c r="BC68" s="98"/>
      <c r="DF68" s="98"/>
    </row>
    <row r="69" spans="2:110" ht="15.75" thickTop="1">
      <c r="Q69" s="75" t="s">
        <v>127</v>
      </c>
      <c r="R69" s="1">
        <f t="array" ref="R69:U72">MMULT(R63:U66,F19:I22)</f>
        <v>3.3723058469055538E-2</v>
      </c>
      <c r="S69" s="2">
        <v>1.6351780613413212E-2</v>
      </c>
      <c r="T69" s="2">
        <v>0.19981572394965008</v>
      </c>
      <c r="U69" s="3">
        <v>7.0266936353611226E-2</v>
      </c>
      <c r="W69">
        <v>1</v>
      </c>
      <c r="X69">
        <v>1</v>
      </c>
      <c r="Y69">
        <v>1</v>
      </c>
      <c r="Z69">
        <v>1</v>
      </c>
      <c r="AJ69" t="s">
        <v>156</v>
      </c>
      <c r="AK69">
        <f t="array" ref="AK69:AQ69">MMULT(AK67:AQ67,AB$28:AH$34)/$AB$37</f>
        <v>1.0000001218128154</v>
      </c>
      <c r="AL69">
        <v>1.2620180103363574</v>
      </c>
      <c r="AM69">
        <v>1.4359840311579917</v>
      </c>
      <c r="AN69">
        <v>1.12370339143594</v>
      </c>
      <c r="AO69">
        <v>0.95782826975740609</v>
      </c>
      <c r="AP69">
        <v>1.2677111073114078</v>
      </c>
      <c r="AQ69">
        <v>1.2648452263143495</v>
      </c>
      <c r="BC69" s="98"/>
      <c r="DF69" s="98"/>
    </row>
    <row r="70" spans="2:110" ht="15.75" thickBot="1">
      <c r="H70" s="30" t="s">
        <v>110</v>
      </c>
      <c r="K70" t="s">
        <v>108</v>
      </c>
      <c r="R70" s="4">
        <v>0.11101155652841932</v>
      </c>
      <c r="S70" s="5">
        <v>0.11354112880192495</v>
      </c>
      <c r="T70" s="5">
        <v>3.224231561643217E-2</v>
      </c>
      <c r="U70" s="6">
        <v>0.22905321214049751</v>
      </c>
      <c r="W70" t="s">
        <v>131</v>
      </c>
      <c r="AK70">
        <f>AK69/$AK69</f>
        <v>1</v>
      </c>
      <c r="AL70">
        <f t="shared" ref="AL70:AP70" si="63">AL69/$AK69</f>
        <v>1.2620178566064093</v>
      </c>
      <c r="AM70">
        <f t="shared" si="63"/>
        <v>1.4359838562367553</v>
      </c>
      <c r="AN70">
        <f t="shared" si="63"/>
        <v>1.1237032545544829</v>
      </c>
      <c r="AO70">
        <f t="shared" si="63"/>
        <v>0.95782815308166214</v>
      </c>
      <c r="AP70">
        <f t="shared" si="63"/>
        <v>1.2677109528879675</v>
      </c>
      <c r="AQ70">
        <f>AQ69/$AK69</f>
        <v>1.2648450722400102</v>
      </c>
      <c r="BC70" s="98"/>
      <c r="DF70" s="98"/>
    </row>
    <row r="71" spans="2:110" ht="15.75" thickTop="1">
      <c r="H71" s="76">
        <f t="array" ref="H71:H73">MMULT(K71:L73,M5:M6)</f>
        <v>413.23188743431604</v>
      </c>
      <c r="J71" s="75" t="s">
        <v>109</v>
      </c>
      <c r="K71" s="60">
        <f t="array" ref="K71:L73">MMULT(C33:E35,K66:L68)</f>
        <v>0.46094891814681144</v>
      </c>
      <c r="L71" s="61">
        <v>0.36814227762655055</v>
      </c>
      <c r="R71" s="4">
        <v>0.14629754042236059</v>
      </c>
      <c r="S71" s="5">
        <v>4.0858443147578569E-2</v>
      </c>
      <c r="T71" s="5">
        <v>7.9193247986920484E-2</v>
      </c>
      <c r="U71" s="6">
        <v>0.13162874423302054</v>
      </c>
      <c r="W71">
        <f t="array" ref="W71:Z71">MMULT(W69:Z69,R$69:U$72)*(1+$T$87)</f>
        <v>1.0165840073350796</v>
      </c>
      <c r="X71">
        <v>0.48465966165136587</v>
      </c>
      <c r="Y71">
        <v>1.2496928041694273</v>
      </c>
      <c r="Z71">
        <v>1.3840270658941463</v>
      </c>
      <c r="BC71" s="98"/>
      <c r="DF71" s="98"/>
    </row>
    <row r="72" spans="2:110" ht="15.75" thickBot="1">
      <c r="H72" s="77">
        <v>323.00326910218098</v>
      </c>
      <c r="K72" s="62">
        <v>0.37999978846027016</v>
      </c>
      <c r="L72" s="63">
        <v>0.28151049360646474</v>
      </c>
      <c r="R72" s="7">
        <v>0.11092505228338563</v>
      </c>
      <c r="S72" s="8">
        <v>2.0883025784684178E-2</v>
      </c>
      <c r="T72" s="8">
        <v>0.18287711347070026</v>
      </c>
      <c r="U72" s="9">
        <v>0.11629526100577793</v>
      </c>
      <c r="W72">
        <f>W71/$W71</f>
        <v>1</v>
      </c>
      <c r="X72">
        <f>X71/$W71</f>
        <v>0.4767531833614766</v>
      </c>
      <c r="Y72">
        <f t="shared" ref="Y72" si="64">Y71/$W71</f>
        <v>1.2293059847020709</v>
      </c>
      <c r="Z72">
        <f>Z71/$W71</f>
        <v>1.3614487891879186</v>
      </c>
      <c r="AJ72" t="s">
        <v>156</v>
      </c>
      <c r="AK72">
        <f t="array" ref="AK72:AQ72">MMULT(AK70:AQ70,AB$28:AH$34)/$AB$37</f>
        <v>1.0000002717061209</v>
      </c>
      <c r="AL72">
        <v>1.2620181476821026</v>
      </c>
      <c r="AM72">
        <v>1.4359842194125731</v>
      </c>
      <c r="AN72">
        <v>1.1237035214308764</v>
      </c>
      <c r="AO72">
        <v>0.95782838015967864</v>
      </c>
      <c r="AP72">
        <v>1.2677112748913377</v>
      </c>
      <c r="AQ72">
        <v>1.2648453523613983</v>
      </c>
      <c r="BC72" s="98"/>
      <c r="DF72" s="98"/>
    </row>
    <row r="73" spans="2:110" ht="16.5" thickTop="1" thickBot="1">
      <c r="H73" s="78">
        <v>429.6987210007519</v>
      </c>
      <c r="K73" s="64">
        <v>0.44141338006873665</v>
      </c>
      <c r="L73" s="65">
        <v>0.39483558551401876</v>
      </c>
      <c r="W73" t="s">
        <v>131</v>
      </c>
      <c r="AK73">
        <f>AK72/$AK72</f>
        <v>1</v>
      </c>
      <c r="AL73">
        <f t="shared" ref="AL73:AP73" si="65">AL72/$AK72</f>
        <v>1.2620178047841404</v>
      </c>
      <c r="AM73">
        <f t="shared" si="65"/>
        <v>1.4359838292469771</v>
      </c>
      <c r="AN73">
        <f t="shared" si="65"/>
        <v>1.1237032161138345</v>
      </c>
      <c r="AO73">
        <f t="shared" si="65"/>
        <v>0.95782811991191563</v>
      </c>
      <c r="AP73">
        <f t="shared" si="65"/>
        <v>1.2677109304465184</v>
      </c>
      <c r="AQ73">
        <f>AQ72/$AK72</f>
        <v>1.2648450086952674</v>
      </c>
      <c r="BC73" s="98"/>
    </row>
    <row r="74" spans="2:110" ht="16.5" thickTop="1" thickBot="1">
      <c r="R74" t="s">
        <v>118</v>
      </c>
      <c r="W74">
        <f t="array" ref="W74:Z74">MMULT(W72:Z72,R$69:U$72)*(1+$T$87)</f>
        <v>1.055921862800224</v>
      </c>
      <c r="X74">
        <v>0.37719174111316878</v>
      </c>
      <c r="Y74">
        <v>1.4201266083636923</v>
      </c>
      <c r="Z74">
        <v>1.2635583332287628</v>
      </c>
      <c r="BC74" s="98"/>
    </row>
    <row r="75" spans="2:110" ht="15.75" thickTop="1">
      <c r="R75" s="1">
        <f>1/(1+$S$28)</f>
        <v>0.39539989297778783</v>
      </c>
      <c r="S75" s="2">
        <v>0</v>
      </c>
      <c r="T75" s="2">
        <v>0</v>
      </c>
      <c r="U75" s="3">
        <v>0</v>
      </c>
      <c r="W75">
        <f>W74/$W74</f>
        <v>1</v>
      </c>
      <c r="X75">
        <f>X74/$W74</f>
        <v>0.35721558043403434</v>
      </c>
      <c r="Y75">
        <f t="shared" ref="Y75" si="66">Y74/$W74</f>
        <v>1.3449163791320933</v>
      </c>
      <c r="Z75">
        <f>Z74/$W74</f>
        <v>1.1966399955749591</v>
      </c>
      <c r="AJ75" t="s">
        <v>156</v>
      </c>
      <c r="AK75">
        <f t="array" ref="AK75:AQ75">MMULT(AK73:AQ73,AB$28:AH$34)/$AB$37</f>
        <v>1.0000002448565419</v>
      </c>
      <c r="AL75">
        <v>1.2620181181709318</v>
      </c>
      <c r="AM75">
        <v>1.4359841798253752</v>
      </c>
      <c r="AN75">
        <v>1.1237034954704126</v>
      </c>
      <c r="AO75">
        <v>0.95782835302972591</v>
      </c>
      <c r="AP75">
        <v>1.2677112408000015</v>
      </c>
      <c r="AQ75">
        <v>1.2648453242429341</v>
      </c>
      <c r="BC75" s="98"/>
    </row>
    <row r="76" spans="2:110">
      <c r="R76" s="4">
        <v>0</v>
      </c>
      <c r="S76" s="5">
        <f>1/(1+$S$28)</f>
        <v>0.39539989297778783</v>
      </c>
      <c r="T76" s="5">
        <v>0</v>
      </c>
      <c r="U76" s="6">
        <v>0</v>
      </c>
      <c r="W76" t="s">
        <v>131</v>
      </c>
      <c r="AJ76" s="30" t="s">
        <v>156</v>
      </c>
      <c r="AK76" s="30">
        <f>AK75/$AK75</f>
        <v>1</v>
      </c>
      <c r="AL76" s="30">
        <f t="shared" ref="AL76:AP76" si="67">AL75/$AK75</f>
        <v>1.2620178091576151</v>
      </c>
      <c r="AM76" s="30">
        <f t="shared" si="67"/>
        <v>1.4359838282153408</v>
      </c>
      <c r="AN76" s="30">
        <f t="shared" si="67"/>
        <v>1.123703220324328</v>
      </c>
      <c r="AO76" s="30">
        <f t="shared" si="67"/>
        <v>0.9578281184992451</v>
      </c>
      <c r="AP76" s="30">
        <f t="shared" si="67"/>
        <v>1.267710930392687</v>
      </c>
      <c r="AQ76" s="30">
        <f>AQ75/$AK75</f>
        <v>1.2648450145373578</v>
      </c>
      <c r="BC76" s="98"/>
    </row>
    <row r="77" spans="2:110">
      <c r="R77" s="4">
        <v>0</v>
      </c>
      <c r="S77" s="5">
        <v>0</v>
      </c>
      <c r="T77" s="5">
        <f>1/(1+$S$28)</f>
        <v>0.39539989297778783</v>
      </c>
      <c r="U77" s="6">
        <v>0</v>
      </c>
      <c r="W77">
        <f t="array" ref="W77:Z77">MMULT(W75:Z75,R$69:U$72)*(1+$T$87)</f>
        <v>1.0189012077102091</v>
      </c>
      <c r="X77">
        <v>0.34610807076472372</v>
      </c>
      <c r="Y77">
        <v>1.3573082733633393</v>
      </c>
      <c r="Z77">
        <v>1.1843238591971161</v>
      </c>
      <c r="BC77" s="98"/>
    </row>
    <row r="78" spans="2:110" ht="15.75" thickBot="1">
      <c r="B78" t="s">
        <v>529</v>
      </c>
      <c r="C78">
        <v>3</v>
      </c>
      <c r="R78" s="7">
        <v>0</v>
      </c>
      <c r="S78" s="8">
        <v>0</v>
      </c>
      <c r="T78" s="8">
        <v>0</v>
      </c>
      <c r="U78" s="9">
        <f>1/(1+$S$28)</f>
        <v>0.39539989297778783</v>
      </c>
      <c r="W78">
        <f>W77/$W77</f>
        <v>1</v>
      </c>
      <c r="X78">
        <f>X77/$W77</f>
        <v>0.33968756553202761</v>
      </c>
      <c r="Y78">
        <f t="shared" ref="Y78" si="68">Y77/$W77</f>
        <v>1.3321294185268826</v>
      </c>
      <c r="Z78">
        <f>Z77/$W77</f>
        <v>1.1623539654631125</v>
      </c>
      <c r="AJ78" s="30" t="s">
        <v>66</v>
      </c>
      <c r="AK78" s="30">
        <f>AK76</f>
        <v>1</v>
      </c>
      <c r="AL78" s="30">
        <f t="shared" ref="AL78:AM78" si="69">AL76</f>
        <v>1.2620178091576151</v>
      </c>
      <c r="AM78" s="30">
        <f t="shared" si="69"/>
        <v>1.4359838282153408</v>
      </c>
      <c r="AN78" s="30"/>
      <c r="BC78" s="98"/>
    </row>
    <row r="79" spans="2:110" ht="15.75" thickTop="1">
      <c r="B79" t="s">
        <v>530</v>
      </c>
      <c r="C79">
        <v>4</v>
      </c>
      <c r="W79" t="s">
        <v>131</v>
      </c>
      <c r="AJ79" s="30" t="s">
        <v>64</v>
      </c>
      <c r="AK79" s="30">
        <f>AN76</f>
        <v>1.123703220324328</v>
      </c>
      <c r="AL79" s="30">
        <f t="shared" ref="AL79:AN79" si="70">AO76</f>
        <v>0.9578281184992451</v>
      </c>
      <c r="AM79" s="30">
        <f t="shared" si="70"/>
        <v>1.267710930392687</v>
      </c>
      <c r="AN79" s="30">
        <f t="shared" si="70"/>
        <v>1.2648450145373578</v>
      </c>
      <c r="BC79" s="98"/>
    </row>
    <row r="80" spans="2:110" ht="15.75" thickBot="1">
      <c r="B80" t="s">
        <v>531</v>
      </c>
      <c r="C80">
        <v>2</v>
      </c>
      <c r="R80" t="s">
        <v>128</v>
      </c>
      <c r="W80">
        <f t="array" ref="W80:Z80">MMULT(W78:Z78,R$69:U$72)*(1+$T$87)</f>
        <v>0.999630355792403</v>
      </c>
      <c r="X80">
        <v>0.33794266149484653</v>
      </c>
      <c r="Y80">
        <v>1.3374602281579444</v>
      </c>
      <c r="Z80">
        <v>1.1598289549862406</v>
      </c>
      <c r="AJ80" s="30" t="s">
        <v>157</v>
      </c>
      <c r="AK80" s="30">
        <f t="array" ref="AK80:AL80">(MMULT(AK78:AM78,J16:K18)+MMULT(AK79:AN79,J19:K22))/$AB$37</f>
        <v>1.7594849848935998</v>
      </c>
      <c r="AL80" s="30">
        <v>1.8439137908852921</v>
      </c>
      <c r="BC80" s="98"/>
    </row>
    <row r="81" spans="2:55" ht="16.5" thickTop="1" thickBot="1">
      <c r="E81" t="s">
        <v>539</v>
      </c>
      <c r="R81" s="1">
        <f>R69-R75</f>
        <v>-0.36167683450873228</v>
      </c>
      <c r="S81" s="2">
        <f t="shared" ref="S81:U81" si="71">S69-S75</f>
        <v>1.6351780613413212E-2</v>
      </c>
      <c r="T81" s="2">
        <f t="shared" si="71"/>
        <v>0.19981572394965008</v>
      </c>
      <c r="U81" s="3">
        <f t="shared" si="71"/>
        <v>7.0266936353611226E-2</v>
      </c>
      <c r="W81">
        <f>W80/$W80</f>
        <v>1</v>
      </c>
      <c r="X81">
        <f>X80/$W80</f>
        <v>0.33806762623466025</v>
      </c>
      <c r="Y81">
        <f t="shared" ref="Y81" si="72">Y80/$W80</f>
        <v>1.3379547953980899</v>
      </c>
      <c r="Z81">
        <f>Z80/$W80</f>
        <v>1.1602578375752193</v>
      </c>
      <c r="BC81" s="98"/>
    </row>
    <row r="82" spans="2:55" ht="15.75" thickTop="1">
      <c r="C82" t="s">
        <v>420</v>
      </c>
      <c r="E82" t="s">
        <v>0</v>
      </c>
      <c r="F82" t="s">
        <v>1</v>
      </c>
      <c r="H82" s="1"/>
      <c r="I82" s="2" t="s">
        <v>8</v>
      </c>
      <c r="J82" s="2" t="s">
        <v>9</v>
      </c>
      <c r="K82" s="2" t="s">
        <v>10</v>
      </c>
      <c r="L82" s="3" t="s">
        <v>11</v>
      </c>
      <c r="R82" s="4">
        <f t="shared" ref="R82:U84" si="73">R70-R76</f>
        <v>0.11101155652841932</v>
      </c>
      <c r="S82" s="5">
        <f t="shared" si="73"/>
        <v>-0.28185876417586286</v>
      </c>
      <c r="T82" s="5">
        <f t="shared" si="73"/>
        <v>3.224231561643217E-2</v>
      </c>
      <c r="U82" s="6">
        <f t="shared" si="73"/>
        <v>0.22905321214049751</v>
      </c>
      <c r="W82" t="s">
        <v>131</v>
      </c>
      <c r="BC82" s="98"/>
    </row>
    <row r="83" spans="2:55">
      <c r="B83" t="s">
        <v>51</v>
      </c>
      <c r="C83">
        <f>SUM(C5:E7)/C78^2</f>
        <v>0.11431042222222224</v>
      </c>
      <c r="D83" t="s">
        <v>3</v>
      </c>
      <c r="E83">
        <f>C78^2*C90*C83*C94</f>
        <v>744.61968891771266</v>
      </c>
      <c r="F83">
        <f>C78*C79*C86*C91*C94</f>
        <v>561.29493282114106</v>
      </c>
      <c r="H83" s="4" t="s">
        <v>3</v>
      </c>
      <c r="I83" s="5">
        <v>760.21746818043005</v>
      </c>
      <c r="J83" s="5">
        <v>554.15831172941341</v>
      </c>
      <c r="K83" s="5">
        <v>858.01988366096521</v>
      </c>
      <c r="L83" s="93">
        <v>2172.3956635708087</v>
      </c>
      <c r="R83" s="4">
        <f t="shared" si="73"/>
        <v>0.14629754042236059</v>
      </c>
      <c r="S83" s="5">
        <f t="shared" si="73"/>
        <v>4.0858443147578569E-2</v>
      </c>
      <c r="T83" s="5">
        <f t="shared" si="73"/>
        <v>-0.31620664499086737</v>
      </c>
      <c r="U83" s="6">
        <f t="shared" si="73"/>
        <v>0.13162874423302054</v>
      </c>
      <c r="W83">
        <f t="array" ref="W83:Z83">MMULT(W81:Z81,R$69:U$72)*(1+$T$87)</f>
        <v>1.0007428832302294</v>
      </c>
      <c r="X83">
        <v>0.33796874293984447</v>
      </c>
      <c r="Y83">
        <v>1.3375253928277582</v>
      </c>
      <c r="Z83">
        <v>1.1602132874192566</v>
      </c>
      <c r="BC83" s="98"/>
    </row>
    <row r="84" spans="2:55" ht="15.75" thickBot="1">
      <c r="B84" t="s">
        <v>52</v>
      </c>
      <c r="C84">
        <f>SUM(F5:I7)/(C78*C79)</f>
        <v>0.107608675</v>
      </c>
      <c r="D84" t="s">
        <v>4</v>
      </c>
      <c r="E84">
        <f>C78*C79*C84*C90*C95</f>
        <v>786.42693352231424</v>
      </c>
      <c r="F84">
        <f>C79*C79*C87*C91*C95</f>
        <v>625.92762552554825</v>
      </c>
      <c r="H84" s="4" t="s">
        <v>4</v>
      </c>
      <c r="I84" s="5">
        <v>763.61512485438993</v>
      </c>
      <c r="J84" s="5">
        <v>624.21329779174403</v>
      </c>
      <c r="K84" s="5">
        <v>905.96951034954088</v>
      </c>
      <c r="L84" s="95">
        <v>2293.7979329956747</v>
      </c>
      <c r="R84" s="7">
        <f t="shared" si="73"/>
        <v>0.11092505228338563</v>
      </c>
      <c r="S84" s="8">
        <f t="shared" si="73"/>
        <v>2.0883025784684178E-2</v>
      </c>
      <c r="T84" s="8">
        <f t="shared" si="73"/>
        <v>0.18287711347070026</v>
      </c>
      <c r="U84" s="9">
        <f t="shared" si="73"/>
        <v>-0.27910463197200991</v>
      </c>
      <c r="W84">
        <f>W83/$W83</f>
        <v>1</v>
      </c>
      <c r="X84">
        <f>X83/$W83</f>
        <v>0.33771785800658238</v>
      </c>
      <c r="Y84">
        <f t="shared" ref="Y84" si="74">Y83/$W83</f>
        <v>1.3365325052429566</v>
      </c>
      <c r="Z84">
        <f>Z83/$W83</f>
        <v>1.1593520242425142</v>
      </c>
      <c r="BC84" s="98"/>
    </row>
    <row r="85" spans="2:55" ht="15.75" thickTop="1">
      <c r="B85" t="s">
        <v>56</v>
      </c>
      <c r="C85">
        <f>SUM(J16:K18)/(C78*C80)</f>
        <v>0.13083446666666668</v>
      </c>
      <c r="D85" t="s">
        <v>5</v>
      </c>
      <c r="E85">
        <f>C78*C80*C85*C90*C96</f>
        <v>773.53337187118359</v>
      </c>
      <c r="F85">
        <f>C79*C80*C88*C91*C96</f>
        <v>934.29200031307425</v>
      </c>
      <c r="H85" s="4" t="s">
        <v>5</v>
      </c>
      <c r="I85" s="5">
        <v>648.56253601579988</v>
      </c>
      <c r="J85" s="5">
        <v>1115.4257595439351</v>
      </c>
      <c r="K85" s="5">
        <v>1151.5253516306316</v>
      </c>
      <c r="L85" s="91">
        <v>2915.5136471903666</v>
      </c>
      <c r="W85" t="s">
        <v>131</v>
      </c>
      <c r="BC85" s="98"/>
    </row>
    <row r="86" spans="2:55" ht="15.75" thickBot="1">
      <c r="B86" t="s">
        <v>57</v>
      </c>
      <c r="C86">
        <f>SUM(C19:E22)/(C78*C79)</f>
        <v>6.9059547499999985E-2</v>
      </c>
      <c r="H86" s="7" t="s">
        <v>17</v>
      </c>
      <c r="I86" s="94">
        <v>2172.3951290506202</v>
      </c>
      <c r="J86" s="96">
        <v>2293.7973690650924</v>
      </c>
      <c r="K86" s="92">
        <v>2915.5147456411378</v>
      </c>
      <c r="L86" s="9">
        <v>7381.7072437568504</v>
      </c>
      <c r="R86" t="s">
        <v>129</v>
      </c>
      <c r="T86">
        <f>MDETERM(R81:U84)</f>
        <v>-1.9947844605686279E-8</v>
      </c>
      <c r="W86">
        <f t="array" ref="W86:Z86">MMULT(W84:Z84,R$69:U$72)*(1+$T$87)</f>
        <v>0.99986432138854742</v>
      </c>
      <c r="X86">
        <v>0.33767349307727706</v>
      </c>
      <c r="Y86">
        <v>1.336793056660404</v>
      </c>
      <c r="Z86">
        <v>1.1592707692047373</v>
      </c>
      <c r="BC86" s="98"/>
    </row>
    <row r="87" spans="2:55" ht="15.75" thickTop="1">
      <c r="B87" t="s">
        <v>59</v>
      </c>
      <c r="C87">
        <f>SUM(F19:I22)/(C79*C79)</f>
        <v>6.8642693749999997E-2</v>
      </c>
      <c r="E87" t="s">
        <v>538</v>
      </c>
      <c r="S87" t="s">
        <v>18</v>
      </c>
      <c r="T87">
        <v>1.5290851559643099</v>
      </c>
      <c r="W87">
        <f>W86/$W86</f>
        <v>1</v>
      </c>
      <c r="X87">
        <f>X86/$W86</f>
        <v>0.33771931436491082</v>
      </c>
      <c r="Y87">
        <f t="shared" ref="Y87" si="75">Y86/$W86</f>
        <v>1.3369744554980736</v>
      </c>
      <c r="Z87">
        <f>Z86/$W86</f>
        <v>1.1594280787965474</v>
      </c>
      <c r="BC87" s="98"/>
    </row>
    <row r="88" spans="2:55">
      <c r="B88" t="s">
        <v>62</v>
      </c>
      <c r="C88">
        <f>SUM(J19:K22)/(C79*C80)</f>
        <v>0.12665053750000002</v>
      </c>
      <c r="E88">
        <f>(ABS(I83-E83)/I83)*100</f>
        <v>2.0517522834683675</v>
      </c>
      <c r="F88">
        <f>(ABS(J83-F83)/J83)*100</f>
        <v>1.2878307409042968</v>
      </c>
      <c r="W88" t="s">
        <v>131</v>
      </c>
      <c r="BC88" s="98"/>
    </row>
    <row r="89" spans="2:55" ht="15.75" thickBot="1">
      <c r="E89">
        <f t="shared" ref="E89:F89" si="76">(ABS(I84-E84)/I84)*100</f>
        <v>2.9873437449623834</v>
      </c>
      <c r="F89">
        <f t="shared" si="76"/>
        <v>0.2746381308871404</v>
      </c>
      <c r="R89" t="s">
        <v>133</v>
      </c>
      <c r="W89">
        <f t="array" ref="W89:Z89">MMULT(W87:Z87,R$69:U$72)*(1+$T$87)</f>
        <v>1.000049587658471</v>
      </c>
      <c r="X89">
        <v>0.33772359679633729</v>
      </c>
      <c r="Y89">
        <v>1.3369168682008055</v>
      </c>
      <c r="Z89">
        <v>1.1594411074523083</v>
      </c>
      <c r="BC89" s="98"/>
    </row>
    <row r="90" spans="2:55" ht="15.75" thickTop="1">
      <c r="B90" t="s">
        <v>532</v>
      </c>
      <c r="C90">
        <f>SUM(AG3:AI3)/C78</f>
        <v>1.8623165829823305</v>
      </c>
      <c r="E90">
        <f>(ABS(I85-E85)/I85)*100</f>
        <v>19.268895274632275</v>
      </c>
      <c r="F90">
        <f t="shared" ref="F90" si="77">(ABS(J85-F85)/J85)*100</f>
        <v>16.238979392489654</v>
      </c>
      <c r="R90" s="1">
        <f t="array" ref="R90:S92">MMULT(C38:F40,J19:K22)</f>
        <v>7.3995882052414794E-2</v>
      </c>
      <c r="S90" s="3">
        <v>0.13841287182513073</v>
      </c>
      <c r="W90">
        <f>W89/$W89</f>
        <v>1</v>
      </c>
      <c r="X90">
        <f>X89/$W89</f>
        <v>0.33770685070436124</v>
      </c>
      <c r="Y90">
        <f t="shared" ref="Y90" si="78">Y89/$W89</f>
        <v>1.3368505769109709</v>
      </c>
      <c r="Z90">
        <f>Z89/$W89</f>
        <v>1.1593836163335047</v>
      </c>
      <c r="BC90" s="98"/>
    </row>
    <row r="91" spans="2:55">
      <c r="B91" t="s">
        <v>533</v>
      </c>
      <c r="C91">
        <f>SUM(AG4:AJ4)/C79</f>
        <v>1.7427435355261118</v>
      </c>
      <c r="R91" s="4">
        <v>3.1460276609122075E-2</v>
      </c>
      <c r="S91" s="6">
        <v>7.9357143391457163E-2</v>
      </c>
      <c r="W91" t="s">
        <v>131</v>
      </c>
      <c r="BC91" s="98"/>
    </row>
    <row r="92" spans="2:55" ht="15.75" thickBot="1">
      <c r="B92" t="s">
        <v>534</v>
      </c>
      <c r="C92">
        <f>SUM(AG5:AH5)/C80</f>
        <v>2.722011759301906</v>
      </c>
      <c r="R92" s="7">
        <v>5.6850960760742607E-2</v>
      </c>
      <c r="S92" s="9">
        <v>0.11437049827622456</v>
      </c>
      <c r="W92">
        <f t="array" ref="W92:Z92">MMULT(W90:Z90,R$69:U$72)*(1+$T$87)</f>
        <v>0.99998777999379151</v>
      </c>
      <c r="X92">
        <v>0.33770486857918341</v>
      </c>
      <c r="Y92">
        <v>1.3368704762513623</v>
      </c>
      <c r="Z92">
        <v>1.1593795707687677</v>
      </c>
      <c r="BC92" s="98"/>
    </row>
    <row r="93" spans="2:55" ht="15.75" thickTop="1">
      <c r="W93">
        <f>W92/$W92</f>
        <v>1</v>
      </c>
      <c r="X93">
        <f>X92/$W92</f>
        <v>0.33770899538520366</v>
      </c>
      <c r="Y93">
        <f t="shared" ref="Y93" si="79">Y92/$W92</f>
        <v>1.3368868130165175</v>
      </c>
      <c r="Z93">
        <f>Z92/$W92</f>
        <v>1.1593937385674511</v>
      </c>
      <c r="BC93" s="98"/>
    </row>
    <row r="94" spans="2:55" ht="15.75" thickBot="1">
      <c r="B94" t="s">
        <v>535</v>
      </c>
      <c r="C94">
        <f>SUM(N5:N7)/C78</f>
        <v>388.64462584574966</v>
      </c>
      <c r="R94" t="s">
        <v>134</v>
      </c>
      <c r="W94" t="s">
        <v>131</v>
      </c>
      <c r="BC94" s="98"/>
    </row>
    <row r="95" spans="2:55" ht="15.75" thickTop="1">
      <c r="B95" t="s">
        <v>536</v>
      </c>
      <c r="C95">
        <f>SUM(O5:O8)/C79</f>
        <v>327.02152418864614</v>
      </c>
      <c r="R95" s="1">
        <f t="array" ref="R95:S98">MMULT(R51:T54,R90:S92)</f>
        <v>2.6306906219172289E-2</v>
      </c>
      <c r="S95" s="3">
        <v>5.3777559869514865E-2</v>
      </c>
      <c r="W95">
        <f t="array" ref="W95:Z95">MMULT(W93:Z93,R$69:U$72)*(1+$T$87)</f>
        <v>1.0000046291303808</v>
      </c>
      <c r="X95">
        <v>0.33770976347988768</v>
      </c>
      <c r="Y95">
        <v>1.3368825903904409</v>
      </c>
      <c r="Z95">
        <v>1.1593958533400532</v>
      </c>
      <c r="BC95" s="98"/>
    </row>
    <row r="96" spans="2:55">
      <c r="B96" t="s">
        <v>537</v>
      </c>
      <c r="C96">
        <f>SUM(M5:M6)/C80</f>
        <v>529.11749999999995</v>
      </c>
      <c r="R96" s="4">
        <v>2.6263569052948479E-2</v>
      </c>
      <c r="S96" s="6">
        <v>6.1672276248825333E-2</v>
      </c>
      <c r="W96">
        <f>W95/$W95</f>
        <v>1</v>
      </c>
      <c r="X96">
        <f>X95/$W95</f>
        <v>0.33770820018459835</v>
      </c>
      <c r="Y96">
        <f t="shared" ref="Y96" si="80">Y95/$W95</f>
        <v>1.3368764018152739</v>
      </c>
      <c r="Z96">
        <f>Z95/$W95</f>
        <v>1.1593904863703295</v>
      </c>
      <c r="BC96" s="98"/>
    </row>
    <row r="97" spans="17:55">
      <c r="R97" s="4">
        <v>5.3271418316432617E-2</v>
      </c>
      <c r="S97" s="6">
        <v>0.11136906265682169</v>
      </c>
      <c r="W97" t="s">
        <v>131</v>
      </c>
      <c r="BC97" s="98"/>
    </row>
    <row r="98" spans="17:55" ht="15.75" thickBot="1">
      <c r="R98" s="7">
        <v>4.1993465601268959E-2</v>
      </c>
      <c r="S98" s="9">
        <v>8.8089146866641876E-2</v>
      </c>
      <c r="W98">
        <f t="array" ref="W98:Z98">MMULT(W96:Z96,R$69:U$72)*(1+$T$87)</f>
        <v>0.99999964137048913</v>
      </c>
      <c r="X98">
        <v>0.33770828753319382</v>
      </c>
      <c r="Y98">
        <v>1.3368789361447051</v>
      </c>
      <c r="Z98">
        <v>1.159390970253978</v>
      </c>
      <c r="BC98" s="98"/>
    </row>
    <row r="99" spans="17:55" ht="15.75" thickTop="1">
      <c r="V99" s="30" t="s">
        <v>131</v>
      </c>
      <c r="W99" s="30">
        <f>W98/$W98</f>
        <v>1</v>
      </c>
      <c r="X99" s="30">
        <f>X98/$W98</f>
        <v>0.33770840864539525</v>
      </c>
      <c r="Y99" s="30">
        <f t="shared" ref="Y99" si="81">Y98/$W98</f>
        <v>1.3368794155891159</v>
      </c>
      <c r="Z99" s="30">
        <f>Z98/$W98</f>
        <v>1.1593913860459437</v>
      </c>
      <c r="BC99" s="98"/>
    </row>
    <row r="100" spans="17:55" ht="15.75" thickBot="1">
      <c r="R100" t="s">
        <v>135</v>
      </c>
      <c r="W100" t="s">
        <v>131</v>
      </c>
      <c r="BC100" s="98"/>
    </row>
    <row r="101" spans="17:55" ht="15.75" thickTop="1">
      <c r="Q101" s="75" t="s">
        <v>136</v>
      </c>
      <c r="R101" s="1">
        <f>(R95+J19)*(1+$T$87)</f>
        <v>0.29663641367187027</v>
      </c>
      <c r="S101" s="3">
        <f>(S95+K19)*(1+$T$87)</f>
        <v>0.60299348609815806</v>
      </c>
      <c r="W101">
        <f t="array" ref="W101:Z101">MMULT(W99:Z99,R$69:U$72)*(1+$T$87)</f>
        <v>1.0000010673845892</v>
      </c>
      <c r="X101">
        <v>0.33770870633687439</v>
      </c>
      <c r="Y101">
        <v>1.3368799728720404</v>
      </c>
      <c r="Z101">
        <v>1.1593923589136652</v>
      </c>
      <c r="BC101" s="98"/>
    </row>
    <row r="102" spans="17:55">
      <c r="R102" s="4">
        <f t="shared" ref="R102:S104" si="82">(R96+J20)*(1+$T$87)</f>
        <v>0.11856697456309659</v>
      </c>
      <c r="S102" s="6">
        <f t="shared" si="82"/>
        <v>0.49852131917470854</v>
      </c>
      <c r="W102" s="30">
        <f>W101/$W101</f>
        <v>1</v>
      </c>
      <c r="X102" s="30">
        <f>X101/$W101</f>
        <v>0.3377083458721904</v>
      </c>
      <c r="Y102" s="30">
        <f t="shared" ref="Y102" si="83">Y101/$W101</f>
        <v>1.3368785459084829</v>
      </c>
      <c r="Z102" s="30">
        <f>Z101/$W101</f>
        <v>1.1593911213974495</v>
      </c>
      <c r="BC102" s="98"/>
    </row>
    <row r="103" spans="17:55">
      <c r="R103" s="4">
        <f t="shared" si="82"/>
        <v>0.29295864863306847</v>
      </c>
      <c r="S103" s="6">
        <f t="shared" si="82"/>
        <v>0.70324263510218576</v>
      </c>
      <c r="W103" t="s">
        <v>131</v>
      </c>
      <c r="BC103" s="98"/>
    </row>
    <row r="104" spans="17:55" ht="15.75" thickBot="1">
      <c r="R104" s="7">
        <f>(R98+J22)*(1+$T$87)</f>
        <v>0.51315508477557237</v>
      </c>
      <c r="S104" s="9">
        <f t="shared" si="82"/>
        <v>0.7067228692505988</v>
      </c>
      <c r="W104">
        <f t="array" ref="W104:Z104">MMULT(W102:Z102,R$69:U$72)*(1+$T$87)</f>
        <v>1.0000006537354211</v>
      </c>
      <c r="X104">
        <v>0.33770858446582819</v>
      </c>
      <c r="Y104">
        <v>1.336879671164978</v>
      </c>
      <c r="Z104">
        <v>1.1593919551939316</v>
      </c>
      <c r="BC104" s="98"/>
    </row>
    <row r="105" spans="17:55" ht="15.75" thickTop="1">
      <c r="W105" s="30">
        <f>W104/$W104</f>
        <v>1</v>
      </c>
      <c r="X105" s="30">
        <f>X104/$W104</f>
        <v>0.33770836369390883</v>
      </c>
      <c r="Y105" s="30">
        <f t="shared" ref="Y105" si="84">Y104/$W104</f>
        <v>1.3368787971999545</v>
      </c>
      <c r="Z105" s="30">
        <f>Z104/$W104</f>
        <v>1.1593911972588389</v>
      </c>
      <c r="BC105" s="98"/>
    </row>
    <row r="106" spans="17:55">
      <c r="W106" t="s">
        <v>131</v>
      </c>
      <c r="BC106" s="98"/>
    </row>
    <row r="107" spans="17:55">
      <c r="W107">
        <f t="array" ref="W107:Z107">MMULT(W105:Z105,R$69:U$72)*(1+$T$87)</f>
        <v>1.0000007729986538</v>
      </c>
      <c r="X107">
        <v>0.33770861955711667</v>
      </c>
      <c r="Y107">
        <v>1.3368797580352929</v>
      </c>
      <c r="Z107">
        <v>1.1593920714853709</v>
      </c>
      <c r="BC107" s="98"/>
    </row>
    <row r="108" spans="17:55">
      <c r="W108" s="30">
        <f>W107/$W107</f>
        <v>1</v>
      </c>
      <c r="X108" s="30">
        <f>X107/$W107</f>
        <v>0.33770835850901021</v>
      </c>
      <c r="Y108" s="30">
        <f t="shared" ref="Y108" si="85">Y107/$W107</f>
        <v>1.3368787246298386</v>
      </c>
      <c r="Z108" s="30">
        <f>Z107/$W107</f>
        <v>1.1593911752775532</v>
      </c>
      <c r="BC108" s="98"/>
    </row>
    <row r="109" spans="17:55">
      <c r="W109" t="s">
        <v>131</v>
      </c>
      <c r="BC109" s="98"/>
    </row>
    <row r="110" spans="17:55">
      <c r="W110">
        <f t="array" ref="W110:Z110">MMULT(W108:Z108,R$69:U$72)*(1+$T$87)</f>
        <v>1.0000007385254821</v>
      </c>
      <c r="X110">
        <v>0.33770860940831032</v>
      </c>
      <c r="Y110">
        <v>1.3368797329110818</v>
      </c>
      <c r="Z110">
        <v>1.1593920378580218</v>
      </c>
      <c r="BC110" s="98"/>
    </row>
    <row r="111" spans="17:55">
      <c r="W111" s="30">
        <f>W110/$W110</f>
        <v>1</v>
      </c>
      <c r="X111" s="30">
        <f>X110/$W110</f>
        <v>0.33770836000208093</v>
      </c>
      <c r="Y111" s="30">
        <f t="shared" ref="Y111" si="86">Y110/$W110</f>
        <v>1.3368787455920617</v>
      </c>
      <c r="Z111" s="30">
        <f>Z110/$W110</f>
        <v>1.1593911816180904</v>
      </c>
      <c r="BC111" s="98"/>
    </row>
    <row r="112" spans="17:55">
      <c r="W112" t="s">
        <v>131</v>
      </c>
      <c r="BC112" s="98"/>
    </row>
    <row r="113" spans="23:55">
      <c r="W113">
        <f t="array" ref="W113:Z113">MMULT(W111:Z111,R$69:U$72)*(1+$T$87)</f>
        <v>1.0000007484794406</v>
      </c>
      <c r="X113">
        <v>0.33770861233804889</v>
      </c>
      <c r="Y113">
        <v>1.3368797401638548</v>
      </c>
      <c r="Z113">
        <v>1.1593920475661634</v>
      </c>
      <c r="BC113" s="98"/>
    </row>
    <row r="114" spans="23:55">
      <c r="W114" s="30">
        <f>W113/$W113</f>
        <v>1</v>
      </c>
      <c r="X114" s="30">
        <f>X113/$W113</f>
        <v>0.33770835957028483</v>
      </c>
      <c r="Y114" s="30">
        <f t="shared" ref="Y114" si="87">Y113/$W113</f>
        <v>1.3368787395376036</v>
      </c>
      <c r="Z114" s="30">
        <f>Z113/$W113</f>
        <v>1.1593911797857017</v>
      </c>
      <c r="BC114" s="98"/>
    </row>
    <row r="115" spans="23:55">
      <c r="W115" t="s">
        <v>131</v>
      </c>
      <c r="BC115" s="98"/>
    </row>
    <row r="116" spans="23:55">
      <c r="W116">
        <f t="array" ref="W116:Z116">MMULT(W114:Z114,R$69:U$72)*(1+$T$87)</f>
        <v>1.0000007456040114</v>
      </c>
      <c r="X116">
        <v>0.33770861149164461</v>
      </c>
      <c r="Y116">
        <v>1.3368797380685171</v>
      </c>
      <c r="Z116">
        <v>1.1593920447615518</v>
      </c>
      <c r="BC116" s="98"/>
    </row>
    <row r="117" spans="23:55">
      <c r="W117" s="30">
        <f>W116/$W116</f>
        <v>1</v>
      </c>
      <c r="X117" s="30">
        <f>X116/$W116</f>
        <v>0.3377083596949369</v>
      </c>
      <c r="Y117" s="30">
        <f t="shared" ref="Y117" si="88">Y116/$W116</f>
        <v>1.3368787412863647</v>
      </c>
      <c r="Z117" s="30">
        <f>Z116/$W116</f>
        <v>1.1593911803148369</v>
      </c>
      <c r="BC117" s="98"/>
    </row>
    <row r="118" spans="23:55">
      <c r="W118" t="s">
        <v>131</v>
      </c>
      <c r="BC118" s="98"/>
    </row>
    <row r="119" spans="23:55">
      <c r="W119">
        <f t="array" ref="W119:Z119">MMULT(W117:Z117,R$69:U$72)*(1+$T$87)</f>
        <v>1.0000007464344911</v>
      </c>
      <c r="X119">
        <v>0.33770861173609268</v>
      </c>
      <c r="Y119">
        <v>1.3368797386736664</v>
      </c>
      <c r="Z119">
        <v>1.1593920455715547</v>
      </c>
      <c r="BC119" s="98"/>
    </row>
    <row r="120" spans="23:55">
      <c r="W120" s="30">
        <f>W119/$W119</f>
        <v>1</v>
      </c>
      <c r="X120" s="30">
        <f>X119/$W119</f>
        <v>0.33770835965892509</v>
      </c>
      <c r="Y120" s="30">
        <f t="shared" ref="Y120" si="89">Y119/$W119</f>
        <v>1.3368787407812639</v>
      </c>
      <c r="Z120" s="30">
        <f>Z119/$W119</f>
        <v>1.1593911801619892</v>
      </c>
      <c r="BC120" s="98"/>
    </row>
    <row r="121" spans="23:55">
      <c r="W121" t="s">
        <v>131</v>
      </c>
    </row>
    <row r="122" spans="23:55">
      <c r="W122">
        <f t="array" ref="W122:Z122">MMULT(W120:Z120,R$69:U$72)*(1+$T$87)</f>
        <v>1.0000007461946141</v>
      </c>
      <c r="X122">
        <v>0.33770861166548477</v>
      </c>
      <c r="Y122">
        <v>1.3368797384988711</v>
      </c>
      <c r="Z122">
        <v>1.1593920453375897</v>
      </c>
    </row>
    <row r="123" spans="23:55">
      <c r="W123" s="30">
        <f>W122/$W122</f>
        <v>1</v>
      </c>
      <c r="X123" s="30">
        <f>X122/$W122</f>
        <v>0.33770835966932566</v>
      </c>
      <c r="Y123" s="30">
        <f t="shared" ref="Y123" si="90">Y122/$W122</f>
        <v>1.336878740927155</v>
      </c>
      <c r="Z123" s="30">
        <f>Z122/$W122</f>
        <v>1.1593911802061354</v>
      </c>
    </row>
    <row r="124" spans="23:55">
      <c r="W124" t="s">
        <v>131</v>
      </c>
    </row>
    <row r="125" spans="23:55">
      <c r="W125">
        <f t="array" ref="W125:Z125">MMULT(W123:Z123,R$69:U$72)*(1+$T$87)</f>
        <v>1.0000007462638985</v>
      </c>
      <c r="X125">
        <v>0.33770861168587846</v>
      </c>
      <c r="Y125">
        <v>1.3368797385493574</v>
      </c>
      <c r="Z125">
        <v>1.159392045405166</v>
      </c>
    </row>
    <row r="126" spans="23:55">
      <c r="W126" s="30">
        <f>W125/$W125</f>
        <v>1</v>
      </c>
      <c r="X126" s="30">
        <f>X125/$W125</f>
        <v>0.33770835966632146</v>
      </c>
      <c r="Y126" s="30">
        <f t="shared" ref="Y126" si="91">Y125/$W125</f>
        <v>1.3368787408850165</v>
      </c>
      <c r="Z126" s="30">
        <f>Z125/$W125</f>
        <v>1.1593911801933841</v>
      </c>
    </row>
    <row r="127" spans="23:55">
      <c r="W127" t="s">
        <v>131</v>
      </c>
    </row>
    <row r="128" spans="23:55">
      <c r="W128">
        <f t="array" ref="W128:Z128">MMULT(W126:Z126,R$69:U$72)*(1+$T$87)</f>
        <v>1.0000007462438865</v>
      </c>
      <c r="X128">
        <v>0.337708611679988</v>
      </c>
      <c r="Y128">
        <v>1.336879738534775</v>
      </c>
      <c r="Z128">
        <v>1.1593920453856474</v>
      </c>
    </row>
    <row r="129" spans="22:26">
      <c r="W129" s="30">
        <f>W128/$W128</f>
        <v>1</v>
      </c>
      <c r="X129" s="30">
        <f>X128/$W128</f>
        <v>0.33770835966718921</v>
      </c>
      <c r="Y129" s="30">
        <f t="shared" ref="Y129" si="92">Y128/$W128</f>
        <v>1.3368787408971876</v>
      </c>
      <c r="Z129" s="30">
        <f>Z128/$W128</f>
        <v>1.1593911801970671</v>
      </c>
    </row>
    <row r="130" spans="22:26">
      <c r="W130" t="s">
        <v>131</v>
      </c>
    </row>
    <row r="131" spans="22:26">
      <c r="W131">
        <f t="array" ref="W131:Z131">MMULT(W129:Z129,R$69:U$72)*(1+$T$87)</f>
        <v>1.0000007462496667</v>
      </c>
      <c r="X131">
        <v>0.33770861168168936</v>
      </c>
      <c r="Y131">
        <v>1.3368797385389868</v>
      </c>
      <c r="Z131">
        <v>1.1593920453912852</v>
      </c>
    </row>
    <row r="132" spans="22:26">
      <c r="W132" s="30">
        <f>W131/$W131</f>
        <v>1</v>
      </c>
      <c r="X132" s="30">
        <f>X131/$W131</f>
        <v>0.33770835966693852</v>
      </c>
      <c r="Y132" s="30">
        <f t="shared" ref="Y132" si="93">Y131/$W131</f>
        <v>1.336878740893672</v>
      </c>
      <c r="Z132" s="30">
        <f>Z131/$W131</f>
        <v>1.1593911801960033</v>
      </c>
    </row>
    <row r="133" spans="22:26">
      <c r="W133" t="s">
        <v>131</v>
      </c>
    </row>
    <row r="134" spans="22:26">
      <c r="W134">
        <f t="array" ref="W134:Z134">MMULT(W132:Z132,R$69:U$72)*(1+$T$87)</f>
        <v>1.0000007462479972</v>
      </c>
      <c r="X134">
        <v>0.33770861168119792</v>
      </c>
      <c r="Y134">
        <v>1.3368797385377702</v>
      </c>
      <c r="Z134">
        <v>1.1593920453896567</v>
      </c>
    </row>
    <row r="135" spans="22:26">
      <c r="V135" s="30" t="s">
        <v>131</v>
      </c>
      <c r="W135" s="30">
        <f>W134/$W134</f>
        <v>1</v>
      </c>
      <c r="X135" s="30">
        <f>X134/$W134</f>
        <v>0.3377083596670109</v>
      </c>
      <c r="Y135" s="30">
        <f t="shared" ref="Y135" si="94">Y134/$W134</f>
        <v>1.3368787408946874</v>
      </c>
      <c r="Z135" s="30">
        <f>Z134/$W134</f>
        <v>1.1593911801963106</v>
      </c>
    </row>
    <row r="144" spans="22:26">
      <c r="V144" s="30" t="s">
        <v>132</v>
      </c>
      <c r="W144" s="30">
        <f t="array" ref="W144:Y144">MMULT(W135:Z135,R51:T54)</f>
        <v>0.71670222994863553</v>
      </c>
      <c r="X144" s="30">
        <v>1.3148637223119644</v>
      </c>
      <c r="Y144" s="30">
        <v>1.0673807872085463</v>
      </c>
    </row>
    <row r="146" spans="22:26">
      <c r="V146" s="30" t="s">
        <v>137</v>
      </c>
      <c r="W146" s="30">
        <f t="array" ref="W146:X146">MMULT(W135:Z135,R101:S104)</f>
        <v>1.3232751408427283</v>
      </c>
      <c r="X146" s="30">
        <v>2.5308666930667298</v>
      </c>
    </row>
    <row r="148" spans="22:26">
      <c r="V148" s="30" t="s">
        <v>138</v>
      </c>
    </row>
    <row r="150" spans="22:26">
      <c r="V150" s="30" t="s">
        <v>139</v>
      </c>
      <c r="W150" s="30">
        <f t="array" ref="W150:Y150">MMULT(W144:Y144,C33:E35)</f>
        <v>1.2323030789387128</v>
      </c>
      <c r="X150" s="30">
        <v>1.7327582342324863</v>
      </c>
      <c r="Y150" s="30">
        <v>1.744423996763492</v>
      </c>
    </row>
    <row r="152" spans="22:26">
      <c r="V152" t="s">
        <v>141</v>
      </c>
      <c r="W152">
        <f t="array" ref="W152:Z152">MMULT(W150:Y150,F16:I18)</f>
        <v>0.45668240105310909</v>
      </c>
      <c r="X152">
        <v>0.5911533211200819</v>
      </c>
      <c r="Y152">
        <v>0.44115466589027452</v>
      </c>
      <c r="Z152">
        <v>0.45828283768059719</v>
      </c>
    </row>
    <row r="153" spans="22:26">
      <c r="V153" s="30" t="s">
        <v>140</v>
      </c>
      <c r="W153" s="30">
        <f>W152+W135</f>
        <v>1.4566824010531092</v>
      </c>
      <c r="X153" s="30">
        <f t="shared" ref="X153:Z153" si="95">X152+X135</f>
        <v>0.92886168078709286</v>
      </c>
      <c r="Y153" s="30">
        <f t="shared" si="95"/>
        <v>1.7780334067849619</v>
      </c>
      <c r="Z153" s="30">
        <f t="shared" si="95"/>
        <v>1.6176740178769078</v>
      </c>
    </row>
    <row r="155" spans="22:26">
      <c r="V155" t="s">
        <v>142</v>
      </c>
      <c r="W155">
        <f t="array" ref="W155:X155">MMULT(W150:Y150,J16:K18)</f>
        <v>0.84107379202323185</v>
      </c>
      <c r="X155">
        <v>0.41158519814156902</v>
      </c>
    </row>
    <row r="156" spans="22:26">
      <c r="V156" s="30" t="s">
        <v>143</v>
      </c>
      <c r="W156" s="30">
        <f>W146+W155</f>
        <v>2.16434893286596</v>
      </c>
      <c r="X156" s="30">
        <f>X146+X155</f>
        <v>2.9424518912082989</v>
      </c>
    </row>
    <row r="158" spans="22:26">
      <c r="V158" s="30" t="s">
        <v>144</v>
      </c>
    </row>
    <row r="160" spans="22:26">
      <c r="V160" s="30" t="s">
        <v>145</v>
      </c>
    </row>
    <row r="161" spans="21:25">
      <c r="V161">
        <f t="array" ref="V161:X161">MMULT(W153:Z153,C19:E22)</f>
        <v>0.28338398501863238</v>
      </c>
      <c r="W161">
        <v>0.5198969750825263</v>
      </c>
      <c r="X161">
        <v>0.42204224902880616</v>
      </c>
    </row>
    <row r="162" spans="21:25">
      <c r="U162" s="30" t="s">
        <v>132</v>
      </c>
      <c r="V162" s="30">
        <f>V161*(1+$T87)</f>
        <v>0.71670222994863564</v>
      </c>
      <c r="W162" s="30">
        <f>W161*(1+$T87)</f>
        <v>1.3148637223119641</v>
      </c>
      <c r="X162" s="30">
        <f>X161*(1+$T87)</f>
        <v>1.0673807872085466</v>
      </c>
    </row>
    <row r="164" spans="21:25">
      <c r="V164" s="30" t="s">
        <v>146</v>
      </c>
    </row>
    <row r="165" spans="21:25">
      <c r="V165">
        <f t="array" ref="V165:Y165">MMULT(W153:Z153,F19:I22)</f>
        <v>0.39540018804435667</v>
      </c>
      <c r="W165">
        <v>0.13352994891647907</v>
      </c>
      <c r="X165">
        <v>0.52860210554214626</v>
      </c>
      <c r="Y165">
        <v>0.45842349066655474</v>
      </c>
    </row>
    <row r="166" spans="21:25">
      <c r="U166" s="30" t="s">
        <v>131</v>
      </c>
      <c r="V166" s="30">
        <f>V165*(1+$T87)</f>
        <v>1.0000007462484795</v>
      </c>
      <c r="W166" s="30">
        <f>W165*(1+$T87)</f>
        <v>0.33770861168133981</v>
      </c>
      <c r="X166" s="30">
        <f>X165*(1+$T87)</f>
        <v>1.3368797385381217</v>
      </c>
      <c r="Y166" s="30">
        <f>Y165*(1+$T87)</f>
        <v>1.1593920453901272</v>
      </c>
    </row>
    <row r="168" spans="21:25">
      <c r="V168" s="30" t="s">
        <v>147</v>
      </c>
    </row>
    <row r="169" spans="21:25">
      <c r="V169">
        <f t="array" ref="V169:W169">MMULT(W153:Z153,J19:K22)</f>
        <v>0.52322284906938177</v>
      </c>
      <c r="W169">
        <v>1.0007044195796326</v>
      </c>
    </row>
    <row r="170" spans="21:25">
      <c r="U170" s="30" t="s">
        <v>137</v>
      </c>
      <c r="V170" s="30">
        <f>V169*(1+$T87)</f>
        <v>1.3232751408427281</v>
      </c>
      <c r="W170" s="30">
        <f>W169*(1+$T87)</f>
        <v>2.5308666930667298</v>
      </c>
    </row>
  </sheetData>
  <mergeCells count="13">
    <mergeCell ref="A1:H1"/>
    <mergeCell ref="AB26:AD26"/>
    <mergeCell ref="AE26:AH26"/>
    <mergeCell ref="Z28:Z30"/>
    <mergeCell ref="Z31:Z34"/>
    <mergeCell ref="A3:A4"/>
    <mergeCell ref="B3:B4"/>
    <mergeCell ref="C3:E3"/>
    <mergeCell ref="F3:I3"/>
    <mergeCell ref="J3:K3"/>
    <mergeCell ref="A5:A7"/>
    <mergeCell ref="A8:A11"/>
    <mergeCell ref="A12:A13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L813"/>
  <sheetViews>
    <sheetView workbookViewId="0">
      <selection activeCell="M13" sqref="M13"/>
    </sheetView>
  </sheetViews>
  <sheetFormatPr defaultRowHeight="15"/>
  <cols>
    <col min="1" max="1" width="12.140625" style="123" customWidth="1"/>
    <col min="2" max="2" width="12.5703125" style="123" bestFit="1" customWidth="1"/>
    <col min="3" max="3" width="11.140625" style="123" customWidth="1"/>
    <col min="4" max="4" width="13" style="123" customWidth="1"/>
    <col min="5" max="5" width="13.7109375" style="123" customWidth="1"/>
    <col min="6" max="8" width="9.140625" style="123"/>
    <col min="9" max="9" width="13.140625" style="123" customWidth="1"/>
    <col min="10" max="17" width="9.140625" style="123"/>
    <col min="18" max="18" width="12.140625" style="98" customWidth="1"/>
    <col min="19" max="19" width="13.42578125" style="130" customWidth="1"/>
    <col min="20" max="20" width="12.42578125" style="123" customWidth="1"/>
    <col min="21" max="21" width="13" style="123" customWidth="1"/>
    <col min="22" max="22" width="13.28515625" style="123" customWidth="1"/>
    <col min="23" max="23" width="15.28515625" style="123" customWidth="1"/>
    <col min="24" max="34" width="9.140625" style="123"/>
    <col min="35" max="35" width="22.5703125" style="98" customWidth="1"/>
    <col min="36" max="36" width="16.140625" style="130" customWidth="1"/>
    <col min="37" max="37" width="14" style="123" customWidth="1"/>
    <col min="38" max="38" width="13.28515625" style="123" customWidth="1"/>
    <col min="39" max="39" width="13.42578125" style="123" customWidth="1"/>
    <col min="40" max="40" width="15.140625" style="123" customWidth="1"/>
    <col min="41" max="57" width="9.140625" style="123"/>
    <col min="58" max="58" width="9.140625" style="98"/>
    <col min="59" max="59" width="12.5703125" customWidth="1"/>
    <col min="60" max="60" width="18.28515625" customWidth="1"/>
    <col min="61" max="61" width="14" customWidth="1"/>
    <col min="62" max="62" width="12.85546875" customWidth="1"/>
    <col min="63" max="63" width="15.5703125" customWidth="1"/>
    <col min="81" max="81" width="13.42578125" style="123" customWidth="1"/>
    <col min="82" max="82" width="9.140625" style="123"/>
    <col min="83" max="83" width="11.28515625" style="123" customWidth="1"/>
    <col min="84" max="84" width="13.5703125" style="123" customWidth="1"/>
    <col min="85" max="85" width="14.140625" style="123" customWidth="1"/>
    <col min="86" max="95" width="9.140625" style="123"/>
    <col min="96" max="96" width="43.5703125" style="98" customWidth="1"/>
    <col min="98" max="99" width="13.28515625" customWidth="1"/>
    <col min="100" max="100" width="14.28515625" customWidth="1"/>
    <col min="101" max="101" width="15" customWidth="1"/>
    <col min="110" max="110" width="14.140625" customWidth="1"/>
    <col min="111" max="111" width="14.42578125" customWidth="1"/>
    <col min="112" max="112" width="15.42578125" customWidth="1"/>
    <col min="113" max="113" width="14.42578125" customWidth="1"/>
    <col min="122" max="122" width="15.42578125" customWidth="1"/>
    <col min="123" max="124" width="13.5703125" customWidth="1"/>
    <col min="125" max="125" width="15.28515625" customWidth="1"/>
    <col min="134" max="134" width="16.42578125" customWidth="1"/>
    <col min="135" max="135" width="13.28515625" customWidth="1"/>
    <col min="136" max="136" width="13.5703125" customWidth="1"/>
    <col min="137" max="137" width="15.140625" customWidth="1"/>
    <col min="146" max="146" width="16.85546875" customWidth="1"/>
    <col min="147" max="147" width="19.5703125" customWidth="1"/>
    <col min="148" max="148" width="13.5703125" customWidth="1"/>
    <col min="149" max="149" width="16.42578125" customWidth="1"/>
    <col min="156" max="156" width="38.42578125" customWidth="1"/>
    <col min="158" max="158" width="19.140625" customWidth="1"/>
    <col min="159" max="159" width="15" customWidth="1"/>
    <col min="160" max="160" width="16.42578125" customWidth="1"/>
    <col min="161" max="161" width="17.140625" customWidth="1"/>
    <col min="164" max="164" width="11.28515625" customWidth="1"/>
  </cols>
  <sheetData>
    <row r="1" spans="1:168" ht="15.75" thickTop="1">
      <c r="A1" s="128"/>
      <c r="B1" s="160" t="s">
        <v>525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2"/>
      <c r="S1" s="128"/>
      <c r="T1" s="129" t="s">
        <v>169</v>
      </c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2"/>
      <c r="AJ1" s="128"/>
      <c r="AK1" s="129" t="s">
        <v>169</v>
      </c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2"/>
      <c r="BG1" s="128"/>
      <c r="BH1" s="129" t="s">
        <v>169</v>
      </c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2"/>
      <c r="CC1" s="128"/>
      <c r="CD1" s="129" t="s">
        <v>169</v>
      </c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2"/>
      <c r="CS1" s="128"/>
      <c r="CT1" s="121"/>
      <c r="CU1" s="121"/>
      <c r="CV1" s="121"/>
      <c r="CW1" s="121"/>
      <c r="CX1" s="133" t="s">
        <v>239</v>
      </c>
      <c r="CY1" s="121"/>
      <c r="CZ1" s="121"/>
      <c r="DA1" s="129" t="s">
        <v>406</v>
      </c>
      <c r="DB1" s="121"/>
      <c r="DC1" s="121"/>
      <c r="DD1" s="122"/>
      <c r="DE1" s="128"/>
      <c r="DF1" s="121"/>
      <c r="DG1" s="121"/>
      <c r="DH1" s="121"/>
      <c r="DI1" s="121"/>
      <c r="DJ1" s="133" t="s">
        <v>239</v>
      </c>
      <c r="DK1" s="121"/>
      <c r="DL1" s="121"/>
      <c r="DM1" s="129" t="s">
        <v>409</v>
      </c>
      <c r="DN1" s="121"/>
      <c r="DO1" s="121"/>
      <c r="DP1" s="122"/>
      <c r="DQ1" s="128"/>
      <c r="DR1" s="121"/>
      <c r="DS1" s="121"/>
      <c r="DT1" s="121"/>
      <c r="DU1" s="121"/>
      <c r="DV1" s="133" t="s">
        <v>239</v>
      </c>
      <c r="DW1" s="121"/>
      <c r="DX1" s="121"/>
      <c r="DY1" s="129" t="s">
        <v>410</v>
      </c>
      <c r="DZ1" s="121"/>
      <c r="EA1" s="121"/>
      <c r="EB1" s="122"/>
      <c r="EC1" s="128"/>
      <c r="ED1" s="121"/>
      <c r="EE1" s="121"/>
      <c r="EF1" s="121"/>
      <c r="EG1" s="121"/>
      <c r="EH1" s="133" t="s">
        <v>239</v>
      </c>
      <c r="EI1" s="121"/>
      <c r="EJ1" s="121"/>
      <c r="EK1" s="129" t="s">
        <v>412</v>
      </c>
      <c r="EL1" s="121"/>
      <c r="EM1" s="121"/>
      <c r="EN1" s="122"/>
      <c r="EO1" s="128"/>
      <c r="EP1" s="121"/>
      <c r="EQ1" s="121"/>
      <c r="ER1" s="121"/>
      <c r="ES1" s="121"/>
      <c r="ET1" s="133" t="s">
        <v>239</v>
      </c>
      <c r="EU1" s="121"/>
      <c r="EV1" s="121"/>
      <c r="EW1" s="129" t="s">
        <v>413</v>
      </c>
      <c r="EX1" s="121"/>
      <c r="EY1" s="121"/>
      <c r="EZ1" s="122"/>
      <c r="FA1" s="128"/>
      <c r="FB1" s="121"/>
      <c r="FC1" s="121"/>
      <c r="FD1" s="121"/>
      <c r="FE1" s="121"/>
      <c r="FF1" s="133" t="s">
        <v>239</v>
      </c>
      <c r="FG1" s="121"/>
      <c r="FH1" s="121"/>
      <c r="FI1" s="129" t="s">
        <v>455</v>
      </c>
      <c r="FJ1" s="121"/>
      <c r="FK1" s="121"/>
      <c r="FL1" s="122"/>
    </row>
    <row r="2" spans="1:168" ht="15.75" thickBot="1">
      <c r="A2" s="130"/>
      <c r="B2" s="124" t="s">
        <v>253</v>
      </c>
      <c r="T2" s="124" t="s">
        <v>253</v>
      </c>
      <c r="AK2" s="124" t="s">
        <v>253</v>
      </c>
      <c r="BG2" s="130"/>
      <c r="BH2" s="124" t="s">
        <v>253</v>
      </c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98"/>
      <c r="CC2" s="130"/>
      <c r="CD2" s="124" t="s">
        <v>253</v>
      </c>
      <c r="CS2" s="130" t="s">
        <v>167</v>
      </c>
      <c r="CT2" s="123"/>
      <c r="CU2" s="123"/>
      <c r="CV2" s="123"/>
      <c r="CW2" s="123"/>
      <c r="CX2" s="123"/>
      <c r="CY2" s="123"/>
      <c r="CZ2" s="123" t="s">
        <v>168</v>
      </c>
      <c r="DA2" s="123"/>
      <c r="DB2" s="123"/>
      <c r="DC2" s="123"/>
      <c r="DD2" s="98"/>
      <c r="DE2" s="130" t="s">
        <v>167</v>
      </c>
      <c r="DF2" s="123"/>
      <c r="DG2" s="123"/>
      <c r="DH2" s="123"/>
      <c r="DI2" s="123"/>
      <c r="DJ2" s="123"/>
      <c r="DK2" s="123"/>
      <c r="DL2" s="123" t="s">
        <v>168</v>
      </c>
      <c r="DM2" s="123"/>
      <c r="DN2" s="123"/>
      <c r="DO2" s="123"/>
      <c r="DP2" s="98"/>
      <c r="DQ2" s="130" t="s">
        <v>167</v>
      </c>
      <c r="DR2" s="123"/>
      <c r="DS2" s="123"/>
      <c r="DT2" s="123"/>
      <c r="DU2" s="123"/>
      <c r="DV2" s="123"/>
      <c r="DW2" s="123"/>
      <c r="DX2" s="123" t="s">
        <v>168</v>
      </c>
      <c r="DY2" s="123"/>
      <c r="DZ2" s="123"/>
      <c r="EA2" s="123"/>
      <c r="EB2" s="98"/>
      <c r="EC2" s="130" t="s">
        <v>167</v>
      </c>
      <c r="ED2" s="123"/>
      <c r="EE2" s="123"/>
      <c r="EF2" s="123"/>
      <c r="EG2" s="123"/>
      <c r="EH2" s="123"/>
      <c r="EI2" s="123"/>
      <c r="EJ2" s="123" t="s">
        <v>168</v>
      </c>
      <c r="EK2" s="123"/>
      <c r="EL2" s="123"/>
      <c r="EM2" s="123"/>
      <c r="EN2" s="98"/>
      <c r="EO2" s="130" t="s">
        <v>167</v>
      </c>
      <c r="EP2" s="123"/>
      <c r="EQ2" s="123"/>
      <c r="ER2" s="123"/>
      <c r="ES2" s="123"/>
      <c r="ET2" s="123"/>
      <c r="EU2" s="123"/>
      <c r="EV2" s="123" t="s">
        <v>168</v>
      </c>
      <c r="EW2" s="123"/>
      <c r="EX2" s="123"/>
      <c r="EY2" s="123"/>
      <c r="EZ2" s="98"/>
      <c r="FA2" s="130" t="s">
        <v>167</v>
      </c>
      <c r="FB2" s="123"/>
      <c r="FC2" s="123"/>
      <c r="FD2" s="123"/>
      <c r="FE2" s="123"/>
      <c r="FF2" s="123"/>
      <c r="FG2" s="123"/>
      <c r="FH2" s="123" t="s">
        <v>168</v>
      </c>
      <c r="FI2" s="123"/>
      <c r="FJ2" s="123"/>
      <c r="FK2" s="123"/>
      <c r="FL2" s="98"/>
    </row>
    <row r="3" spans="1:168" ht="16.5" thickTop="1" thickBot="1">
      <c r="A3" s="130"/>
      <c r="F3" s="133" t="s">
        <v>239</v>
      </c>
      <c r="G3" s="134"/>
      <c r="H3" s="134"/>
      <c r="I3" s="124" t="s">
        <v>234</v>
      </c>
      <c r="J3" s="138" t="s">
        <v>516</v>
      </c>
      <c r="X3" s="133" t="s">
        <v>239</v>
      </c>
      <c r="AA3" s="124" t="s">
        <v>198</v>
      </c>
      <c r="AB3" s="138" t="s">
        <v>517</v>
      </c>
      <c r="AO3" s="133" t="s">
        <v>239</v>
      </c>
      <c r="AR3" s="124" t="s">
        <v>203</v>
      </c>
      <c r="AS3" s="138" t="s">
        <v>518</v>
      </c>
      <c r="BG3" s="130"/>
      <c r="BH3" s="123"/>
      <c r="BI3" s="123"/>
      <c r="BJ3" s="123"/>
      <c r="BK3" s="123"/>
      <c r="BL3" s="133" t="s">
        <v>239</v>
      </c>
      <c r="BM3" s="123"/>
      <c r="BN3" s="123"/>
      <c r="BO3" s="124" t="s">
        <v>188</v>
      </c>
      <c r="BP3" s="138" t="s">
        <v>519</v>
      </c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98"/>
      <c r="CC3" s="130"/>
      <c r="CH3" s="133" t="s">
        <v>239</v>
      </c>
      <c r="CK3" s="124" t="s">
        <v>175</v>
      </c>
      <c r="CL3" s="138" t="s">
        <v>520</v>
      </c>
      <c r="CS3" s="1"/>
      <c r="CT3" s="2" t="s">
        <v>0</v>
      </c>
      <c r="CU3" s="2" t="s">
        <v>1</v>
      </c>
      <c r="CV3" s="2" t="s">
        <v>2</v>
      </c>
      <c r="CW3" s="3" t="s">
        <v>6</v>
      </c>
      <c r="CX3" s="103" t="s">
        <v>70</v>
      </c>
      <c r="CY3" s="103" t="s">
        <v>172</v>
      </c>
      <c r="CZ3" s="123" t="s">
        <v>3</v>
      </c>
      <c r="DA3" s="123">
        <v>500</v>
      </c>
      <c r="DB3" s="123"/>
      <c r="DC3" s="123" t="s">
        <v>19</v>
      </c>
      <c r="DD3" s="98">
        <f>CX15</f>
        <v>0.39334985993752447</v>
      </c>
      <c r="DE3" s="1"/>
      <c r="DF3" s="2" t="s">
        <v>0</v>
      </c>
      <c r="DG3" s="2" t="s">
        <v>1</v>
      </c>
      <c r="DH3" s="2" t="s">
        <v>2</v>
      </c>
      <c r="DI3" s="3" t="s">
        <v>6</v>
      </c>
      <c r="DJ3" s="103" t="s">
        <v>70</v>
      </c>
      <c r="DK3" s="103" t="s">
        <v>172</v>
      </c>
      <c r="DL3" s="123" t="s">
        <v>3</v>
      </c>
      <c r="DM3" s="123">
        <v>60</v>
      </c>
      <c r="DN3" s="123"/>
      <c r="DO3" s="123" t="s">
        <v>19</v>
      </c>
      <c r="DP3" s="98">
        <v>2.9866500000000001E-2</v>
      </c>
      <c r="DQ3" s="1"/>
      <c r="DR3" s="2" t="s">
        <v>0</v>
      </c>
      <c r="DS3" s="2" t="s">
        <v>1</v>
      </c>
      <c r="DT3" s="2" t="s">
        <v>2</v>
      </c>
      <c r="DU3" s="3" t="s">
        <v>6</v>
      </c>
      <c r="DV3" s="103" t="s">
        <v>70</v>
      </c>
      <c r="DW3" s="103" t="s">
        <v>172</v>
      </c>
      <c r="DX3" s="123" t="s">
        <v>3</v>
      </c>
      <c r="DY3" s="123">
        <v>100</v>
      </c>
      <c r="DZ3" s="123"/>
      <c r="EA3" s="123" t="s">
        <v>19</v>
      </c>
      <c r="EB3" s="98">
        <v>8.6460999999999996E-2</v>
      </c>
      <c r="EC3" s="1"/>
      <c r="ED3" s="2" t="s">
        <v>0</v>
      </c>
      <c r="EE3" s="2" t="s">
        <v>1</v>
      </c>
      <c r="EF3" s="2" t="s">
        <v>2</v>
      </c>
      <c r="EG3" s="3" t="s">
        <v>6</v>
      </c>
      <c r="EH3" s="103" t="s">
        <v>70</v>
      </c>
      <c r="EI3" s="103" t="s">
        <v>172</v>
      </c>
      <c r="EJ3" s="123" t="s">
        <v>3</v>
      </c>
      <c r="EK3" s="123">
        <v>150</v>
      </c>
      <c r="EL3" s="123"/>
      <c r="EM3" s="123" t="s">
        <v>19</v>
      </c>
      <c r="EN3" s="98">
        <v>7.5410099999999994E-2</v>
      </c>
      <c r="EO3" s="1"/>
      <c r="EP3" s="2" t="s">
        <v>0</v>
      </c>
      <c r="EQ3" s="2" t="s">
        <v>1</v>
      </c>
      <c r="ER3" s="2" t="s">
        <v>2</v>
      </c>
      <c r="ES3" s="3" t="s">
        <v>6</v>
      </c>
      <c r="ET3" s="103" t="s">
        <v>70</v>
      </c>
      <c r="EU3" s="103" t="s">
        <v>172</v>
      </c>
      <c r="EV3" s="123" t="s">
        <v>3</v>
      </c>
      <c r="EW3" s="123">
        <v>250</v>
      </c>
      <c r="EX3" s="123"/>
      <c r="EY3" s="123" t="s">
        <v>19</v>
      </c>
      <c r="EZ3" s="98">
        <v>9.8607899999999998E-2</v>
      </c>
      <c r="FA3" s="1"/>
      <c r="FB3" s="2" t="s">
        <v>0</v>
      </c>
      <c r="FC3" s="2" t="s">
        <v>1</v>
      </c>
      <c r="FD3" s="2" t="s">
        <v>2</v>
      </c>
      <c r="FE3" s="3" t="s">
        <v>6</v>
      </c>
      <c r="FF3" s="103" t="s">
        <v>70</v>
      </c>
      <c r="FG3" s="103" t="s">
        <v>172</v>
      </c>
      <c r="FH3" s="123" t="s">
        <v>3</v>
      </c>
      <c r="FI3" s="123">
        <v>1000</v>
      </c>
      <c r="FJ3" s="123"/>
      <c r="FK3" s="123" t="s">
        <v>19</v>
      </c>
      <c r="FL3" s="123">
        <v>0.38939600000000002</v>
      </c>
    </row>
    <row r="4" spans="1:168" ht="16.5" thickTop="1" thickBot="1">
      <c r="A4" s="389" t="s">
        <v>167</v>
      </c>
      <c r="B4" s="390"/>
      <c r="C4" s="390"/>
      <c r="D4" s="390"/>
      <c r="E4" s="391"/>
      <c r="H4" s="123" t="s">
        <v>168</v>
      </c>
      <c r="S4" s="130" t="s">
        <v>167</v>
      </c>
      <c r="Z4" s="123" t="s">
        <v>168</v>
      </c>
      <c r="AJ4" s="389" t="s">
        <v>167</v>
      </c>
      <c r="AK4" s="390"/>
      <c r="AL4" s="390"/>
      <c r="AM4" s="390"/>
      <c r="AN4" s="391"/>
      <c r="AQ4" s="123" t="s">
        <v>168</v>
      </c>
      <c r="BG4" s="130" t="s">
        <v>167</v>
      </c>
      <c r="BH4" s="123"/>
      <c r="BI4" s="123"/>
      <c r="BJ4" s="123"/>
      <c r="BK4" s="123"/>
      <c r="BL4" s="123"/>
      <c r="BM4" s="123"/>
      <c r="BN4" s="123" t="s">
        <v>168</v>
      </c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98"/>
      <c r="CC4" s="130" t="s">
        <v>167</v>
      </c>
      <c r="CJ4" s="123" t="s">
        <v>168</v>
      </c>
      <c r="CS4" s="4" t="s">
        <v>3</v>
      </c>
      <c r="CT4" s="255">
        <f>1.05557*10^-13</f>
        <v>1.0555699999999999E-13</v>
      </c>
      <c r="CU4" s="5">
        <v>3.0294099999999999E-5</v>
      </c>
      <c r="CV4" s="5">
        <v>1.19162E-5</v>
      </c>
      <c r="CW4" s="104">
        <f>SUM(CT4:CV4)</f>
        <v>4.2210300105557E-5</v>
      </c>
      <c r="CX4" s="123">
        <f>CV4/CU4</f>
        <v>0.39335052039836138</v>
      </c>
      <c r="CY4" s="123">
        <f>CT4/CU4</f>
        <v>3.484407854994867E-9</v>
      </c>
      <c r="CZ4" s="123" t="s">
        <v>4</v>
      </c>
      <c r="DA4" s="123">
        <v>100</v>
      </c>
      <c r="DB4" s="123"/>
      <c r="DC4" s="123"/>
      <c r="DD4" s="98"/>
      <c r="DE4" s="4" t="s">
        <v>3</v>
      </c>
      <c r="DF4" s="100">
        <f>1.43123*10^6</f>
        <v>1431230</v>
      </c>
      <c r="DG4" s="5">
        <v>114214</v>
      </c>
      <c r="DH4" s="5">
        <v>46276.2</v>
      </c>
      <c r="DI4" s="104">
        <f>SUM(DF4:DH4)</f>
        <v>1591720.2</v>
      </c>
      <c r="DJ4" s="123">
        <f>DH4/DG4</f>
        <v>0.40517099479923652</v>
      </c>
      <c r="DK4" s="123">
        <f>DF4/DG4</f>
        <v>12.531125781427846</v>
      </c>
      <c r="DL4" s="123" t="s">
        <v>4</v>
      </c>
      <c r="DM4" s="123">
        <v>100</v>
      </c>
      <c r="DN4" s="123"/>
      <c r="DO4" s="123"/>
      <c r="DP4" s="98"/>
      <c r="DQ4" s="4" t="s">
        <v>3</v>
      </c>
      <c r="DR4" s="100">
        <v>246654</v>
      </c>
      <c r="DS4" s="5">
        <v>59141.1</v>
      </c>
      <c r="DT4" s="5">
        <v>26305.4</v>
      </c>
      <c r="DU4" s="104">
        <f>SUM(DR4:DT4)</f>
        <v>332100.5</v>
      </c>
      <c r="DV4" s="123">
        <f>DT4/DS4</f>
        <v>0.44479050947648929</v>
      </c>
      <c r="DW4" s="123">
        <f>DR4/DS4</f>
        <v>4.1706021700644733</v>
      </c>
      <c r="DX4" s="123" t="s">
        <v>4</v>
      </c>
      <c r="DY4" s="123">
        <v>150</v>
      </c>
      <c r="DZ4" s="123"/>
      <c r="EA4" s="123"/>
      <c r="EB4" s="98"/>
      <c r="EC4" s="4" t="s">
        <v>3</v>
      </c>
      <c r="ED4" s="100">
        <v>348317</v>
      </c>
      <c r="EE4" s="5">
        <v>82108.5</v>
      </c>
      <c r="EF4" s="5">
        <v>32713.599999999999</v>
      </c>
      <c r="EG4" s="104">
        <f>SUM(ED4:EF4)</f>
        <v>463139.1</v>
      </c>
      <c r="EH4" s="123">
        <f>EF4/EE4</f>
        <v>0.39841916488548684</v>
      </c>
      <c r="EI4" s="123">
        <f>ED4/EE4</f>
        <v>4.2421551970867819</v>
      </c>
      <c r="EJ4" s="123" t="s">
        <v>4</v>
      </c>
      <c r="EK4" s="123">
        <v>200</v>
      </c>
      <c r="EL4" s="123"/>
      <c r="EM4" s="123"/>
      <c r="EN4" s="98"/>
      <c r="EO4" s="4" t="s">
        <v>3</v>
      </c>
      <c r="EP4" s="100">
        <v>135828</v>
      </c>
      <c r="EQ4" s="5">
        <v>61552.5</v>
      </c>
      <c r="ER4" s="5">
        <v>19500.099999999999</v>
      </c>
      <c r="ES4" s="104">
        <f>SUM(EP4:ER4)</f>
        <v>216880.6</v>
      </c>
      <c r="ET4" s="123">
        <f>ER4/EQ4</f>
        <v>0.31680435400674217</v>
      </c>
      <c r="EU4" s="123">
        <f>EP4/EQ4</f>
        <v>2.2067015961983674</v>
      </c>
      <c r="EV4" s="123" t="s">
        <v>4</v>
      </c>
      <c r="EW4" s="123">
        <v>300</v>
      </c>
      <c r="EX4" s="123"/>
      <c r="EY4" s="123"/>
      <c r="EZ4" s="98"/>
      <c r="FA4" s="4" t="s">
        <v>3</v>
      </c>
      <c r="FB4" s="100">
        <v>3203.96</v>
      </c>
      <c r="FC4" s="5">
        <v>31272.400000000001</v>
      </c>
      <c r="FD4" s="5">
        <v>14807.2</v>
      </c>
      <c r="FE4" s="104">
        <f>SUM(FB4:FD4)</f>
        <v>49283.56</v>
      </c>
      <c r="FF4" s="123">
        <f>FD4/FC4</f>
        <v>0.47349100165001728</v>
      </c>
      <c r="FG4" s="123">
        <f>FB4/FC4</f>
        <v>0.10245328148782952</v>
      </c>
      <c r="FH4" s="123" t="s">
        <v>4</v>
      </c>
      <c r="FI4" s="123">
        <v>1600</v>
      </c>
      <c r="FJ4" s="123"/>
      <c r="FK4" s="123"/>
      <c r="FL4" s="98"/>
    </row>
    <row r="5" spans="1:168" ht="15.75" thickTop="1">
      <c r="A5" s="51"/>
      <c r="B5" s="181" t="s">
        <v>0</v>
      </c>
      <c r="C5" s="181" t="s">
        <v>1</v>
      </c>
      <c r="D5" s="181" t="s">
        <v>2</v>
      </c>
      <c r="E5" s="182" t="s">
        <v>6</v>
      </c>
      <c r="F5" s="103" t="s">
        <v>70</v>
      </c>
      <c r="G5" s="103" t="s">
        <v>172</v>
      </c>
      <c r="H5" s="123" t="s">
        <v>3</v>
      </c>
      <c r="I5" s="123">
        <v>6</v>
      </c>
      <c r="K5" s="123" t="s">
        <v>19</v>
      </c>
      <c r="L5" s="123">
        <v>0.13652600000000001</v>
      </c>
      <c r="N5" s="123">
        <f>1/(1+F6)</f>
        <v>0.8259156119400155</v>
      </c>
      <c r="S5" s="1"/>
      <c r="T5" s="2" t="s">
        <v>0</v>
      </c>
      <c r="U5" s="2" t="s">
        <v>1</v>
      </c>
      <c r="V5" s="2" t="s">
        <v>2</v>
      </c>
      <c r="W5" s="3" t="s">
        <v>6</v>
      </c>
      <c r="X5" s="103" t="s">
        <v>70</v>
      </c>
      <c r="Y5" s="103" t="s">
        <v>172</v>
      </c>
      <c r="Z5" s="123" t="s">
        <v>3</v>
      </c>
      <c r="AA5" s="123">
        <v>12</v>
      </c>
      <c r="AC5" s="123" t="s">
        <v>19</v>
      </c>
      <c r="AD5" s="123">
        <v>0.23080200000000001</v>
      </c>
      <c r="AJ5" s="51"/>
      <c r="AK5" s="181" t="s">
        <v>0</v>
      </c>
      <c r="AL5" s="181" t="s">
        <v>1</v>
      </c>
      <c r="AM5" s="181" t="s">
        <v>2</v>
      </c>
      <c r="AN5" s="182" t="s">
        <v>6</v>
      </c>
      <c r="AO5" s="103" t="s">
        <v>70</v>
      </c>
      <c r="AP5" s="103" t="s">
        <v>172</v>
      </c>
      <c r="AQ5" s="123" t="s">
        <v>3</v>
      </c>
      <c r="AR5" s="123">
        <v>20</v>
      </c>
      <c r="AT5" s="123" t="s">
        <v>19</v>
      </c>
      <c r="AU5" s="123">
        <v>0.10761999999999999</v>
      </c>
      <c r="BG5" s="1"/>
      <c r="BH5" s="2" t="s">
        <v>0</v>
      </c>
      <c r="BI5" s="2" t="s">
        <v>1</v>
      </c>
      <c r="BJ5" s="2" t="s">
        <v>2</v>
      </c>
      <c r="BK5" s="3" t="s">
        <v>6</v>
      </c>
      <c r="BL5" s="103" t="s">
        <v>70</v>
      </c>
      <c r="BM5" s="103" t="s">
        <v>172</v>
      </c>
      <c r="BN5" s="123" t="s">
        <v>3</v>
      </c>
      <c r="BO5" s="123">
        <v>30</v>
      </c>
      <c r="BP5" s="123"/>
      <c r="BQ5" s="123" t="s">
        <v>19</v>
      </c>
      <c r="BR5" s="123">
        <v>0.48769621353161285</v>
      </c>
      <c r="BS5" s="123"/>
      <c r="BT5" s="123"/>
      <c r="BU5" s="123"/>
      <c r="BV5" s="123"/>
      <c r="BW5" s="123"/>
      <c r="BX5" s="123"/>
      <c r="BY5" s="123"/>
      <c r="BZ5" s="123"/>
      <c r="CA5" s="123"/>
      <c r="CB5" s="98"/>
      <c r="CC5" s="1"/>
      <c r="CD5" s="2" t="s">
        <v>0</v>
      </c>
      <c r="CE5" s="2" t="s">
        <v>1</v>
      </c>
      <c r="CF5" s="2" t="s">
        <v>2</v>
      </c>
      <c r="CG5" s="3" t="s">
        <v>6</v>
      </c>
      <c r="CH5" s="103" t="s">
        <v>70</v>
      </c>
      <c r="CI5" s="103" t="s">
        <v>172</v>
      </c>
      <c r="CJ5" s="123" t="s">
        <v>3</v>
      </c>
      <c r="CK5" s="123">
        <v>50</v>
      </c>
      <c r="CM5" s="123" t="s">
        <v>19</v>
      </c>
      <c r="CN5" s="123">
        <v>0.91309043206897933</v>
      </c>
      <c r="CS5" s="4" t="s">
        <v>4</v>
      </c>
      <c r="CT5" s="5">
        <v>3.02485E-5</v>
      </c>
      <c r="CU5" s="5">
        <v>8539.85</v>
      </c>
      <c r="CV5" s="5">
        <v>3359.15</v>
      </c>
      <c r="CW5" s="106">
        <f t="shared" ref="CW5:CW7" si="0">SUM(CT5:CV5)</f>
        <v>11899.0000302485</v>
      </c>
      <c r="CX5" s="123">
        <f t="shared" ref="CX5:CX7" si="1">CV5/CU5</f>
        <v>0.39335000029274519</v>
      </c>
      <c r="CY5" s="123">
        <f t="shared" ref="CY5:CY7" si="2">CT5/CU5</f>
        <v>3.5420411365539205E-9</v>
      </c>
      <c r="CZ5" s="123" t="s">
        <v>5</v>
      </c>
      <c r="DA5" s="123">
        <v>35</v>
      </c>
      <c r="DB5" s="123" t="s">
        <v>404</v>
      </c>
      <c r="DC5" s="123"/>
      <c r="DD5" s="98"/>
      <c r="DE5" s="4" t="s">
        <v>4</v>
      </c>
      <c r="DF5" s="5">
        <v>113974</v>
      </c>
      <c r="DG5" s="5">
        <v>8780.8799999999992</v>
      </c>
      <c r="DH5" s="5">
        <v>3557.75</v>
      </c>
      <c r="DI5" s="106">
        <f t="shared" ref="DI5:DI7" si="3">SUM(DF5:DH5)</f>
        <v>126312.63</v>
      </c>
      <c r="DJ5" s="123">
        <f t="shared" ref="DJ5:DJ7" si="4">DH5/DG5</f>
        <v>0.40517009684678534</v>
      </c>
      <c r="DK5" s="123">
        <f t="shared" ref="DK5:DK7" si="5">DF5/DG5</f>
        <v>12.979792458159093</v>
      </c>
      <c r="DL5" s="123" t="s">
        <v>5</v>
      </c>
      <c r="DM5" s="123">
        <v>45</v>
      </c>
      <c r="DN5" s="123"/>
      <c r="DO5" s="123"/>
      <c r="DP5" s="98"/>
      <c r="DQ5" s="4" t="s">
        <v>4</v>
      </c>
      <c r="DR5" s="5">
        <v>58854</v>
      </c>
      <c r="DS5" s="5">
        <v>14583.8</v>
      </c>
      <c r="DT5" s="5">
        <v>6486.75</v>
      </c>
      <c r="DU5" s="106">
        <f t="shared" ref="DU5:DU7" si="6">SUM(DR5:DT5)</f>
        <v>79924.55</v>
      </c>
      <c r="DV5" s="123">
        <f t="shared" ref="DV5:DV7" si="7">DT5/DS5</f>
        <v>0.44479148095832366</v>
      </c>
      <c r="DW5" s="123">
        <f t="shared" ref="DW5:DW7" si="8">DR5/DS5</f>
        <v>4.0355737187838558</v>
      </c>
      <c r="DX5" s="123" t="s">
        <v>5</v>
      </c>
      <c r="DY5" s="123">
        <v>75</v>
      </c>
      <c r="DZ5" s="123"/>
      <c r="EA5" s="123"/>
      <c r="EB5" s="98"/>
      <c r="EC5" s="4" t="s">
        <v>4</v>
      </c>
      <c r="ED5" s="5">
        <v>81933.3</v>
      </c>
      <c r="EE5" s="5">
        <v>18346.7</v>
      </c>
      <c r="EF5" s="5">
        <v>7309.68</v>
      </c>
      <c r="EG5" s="106">
        <f t="shared" ref="EG5:EG7" si="9">SUM(ED5:EF5)</f>
        <v>107589.68</v>
      </c>
      <c r="EH5" s="123">
        <f t="shared" ref="EH5:EH7" si="10">EF5/EE5</f>
        <v>0.39841933426719789</v>
      </c>
      <c r="EI5" s="123">
        <f t="shared" ref="EI5:EI7" si="11">ED5/EE5</f>
        <v>4.4658330925997589</v>
      </c>
      <c r="EJ5" s="123" t="s">
        <v>5</v>
      </c>
      <c r="EK5" s="123">
        <v>85</v>
      </c>
      <c r="EL5" s="123"/>
      <c r="EM5" s="123"/>
      <c r="EN5" s="98"/>
      <c r="EO5" s="4" t="s">
        <v>4</v>
      </c>
      <c r="EP5" s="5">
        <v>61800.3</v>
      </c>
      <c r="EQ5" s="5">
        <v>27749.599999999999</v>
      </c>
      <c r="ER5" s="5">
        <v>8791.18</v>
      </c>
      <c r="ES5" s="106">
        <f t="shared" ref="ES5:ES7" si="12">SUM(EP5:ER5)</f>
        <v>98341.079999999987</v>
      </c>
      <c r="ET5" s="123">
        <f t="shared" ref="ET5:ET7" si="13">ER5/EQ5</f>
        <v>0.31680384582120108</v>
      </c>
      <c r="EU5" s="123">
        <f t="shared" ref="EU5:EU7" si="14">EP5/EQ5</f>
        <v>2.2270699397468796</v>
      </c>
      <c r="EV5" s="123" t="s">
        <v>5</v>
      </c>
      <c r="EW5" s="123">
        <v>100</v>
      </c>
      <c r="EX5" s="123"/>
      <c r="EY5" s="123"/>
      <c r="EZ5" s="98"/>
      <c r="FA5" s="4" t="s">
        <v>4</v>
      </c>
      <c r="FB5" s="5">
        <v>33588.699999999997</v>
      </c>
      <c r="FC5" s="5">
        <v>138421</v>
      </c>
      <c r="FD5" s="5">
        <v>65541.399999999994</v>
      </c>
      <c r="FE5" s="106">
        <f t="shared" ref="FE5:FE7" si="15">SUM(FB5:FD5)</f>
        <v>237551.1</v>
      </c>
      <c r="FF5" s="123">
        <f t="shared" ref="FF5:FF7" si="16">FD5/FC5</f>
        <v>0.47349318383771244</v>
      </c>
      <c r="FG5" s="123">
        <f t="shared" ref="FG5:FG7" si="17">FB5/FC5</f>
        <v>0.24265609986923947</v>
      </c>
      <c r="FH5" s="123" t="s">
        <v>5</v>
      </c>
      <c r="FI5" s="123">
        <v>800</v>
      </c>
      <c r="FJ5" s="123"/>
      <c r="FK5" s="123"/>
      <c r="FL5" s="98"/>
    </row>
    <row r="6" spans="1:168">
      <c r="A6" s="54" t="s">
        <v>3</v>
      </c>
      <c r="B6" s="188">
        <v>556.87199999999996</v>
      </c>
      <c r="C6" s="55">
        <v>1220.1400000000001</v>
      </c>
      <c r="D6" s="55">
        <v>257.178</v>
      </c>
      <c r="E6" s="189">
        <f>SUM(B6:D6)</f>
        <v>2034.19</v>
      </c>
      <c r="F6" s="123">
        <f>D6/C6</f>
        <v>0.21077745176782992</v>
      </c>
      <c r="G6" s="123">
        <f>B6/C6</f>
        <v>0.45640008523612036</v>
      </c>
      <c r="H6" s="123" t="s">
        <v>4</v>
      </c>
      <c r="I6" s="123">
        <v>12</v>
      </c>
      <c r="S6" s="4" t="s">
        <v>3</v>
      </c>
      <c r="T6" s="100">
        <v>745.62</v>
      </c>
      <c r="U6" s="5">
        <v>1267.21</v>
      </c>
      <c r="V6" s="5">
        <v>464.19099999999997</v>
      </c>
      <c r="W6" s="104">
        <f>SUM(T6:V6)</f>
        <v>2477.0209999999997</v>
      </c>
      <c r="X6" s="123">
        <f>V6/U6</f>
        <v>0.36630945147213168</v>
      </c>
      <c r="Y6" s="123">
        <f>T6/U6</f>
        <v>0.58839497794367157</v>
      </c>
      <c r="Z6" s="123" t="s">
        <v>4</v>
      </c>
      <c r="AA6" s="123">
        <v>20</v>
      </c>
      <c r="AJ6" s="54" t="s">
        <v>3</v>
      </c>
      <c r="AK6" s="188">
        <v>1305.3800000000001</v>
      </c>
      <c r="AL6" s="55">
        <v>2595.4299999999998</v>
      </c>
      <c r="AM6" s="55">
        <v>420.154</v>
      </c>
      <c r="AN6" s="189">
        <f>SUM(AK6:AM6)</f>
        <v>4320.9639999999999</v>
      </c>
      <c r="AO6" s="123">
        <f>AM6/AL6</f>
        <v>0.16188223146068281</v>
      </c>
      <c r="AP6" s="123">
        <f>AK6/AL6</f>
        <v>0.50295326785927585</v>
      </c>
      <c r="AQ6" s="123" t="s">
        <v>4</v>
      </c>
      <c r="AR6" s="123">
        <v>40</v>
      </c>
      <c r="BG6" s="4" t="s">
        <v>3</v>
      </c>
      <c r="BH6" s="100">
        <v>267.07499999999999</v>
      </c>
      <c r="BI6" s="5">
        <v>536.49699999999996</v>
      </c>
      <c r="BJ6" s="5">
        <v>387.58600000000001</v>
      </c>
      <c r="BK6" s="104">
        <f>SUM(BH6:BJ6)</f>
        <v>1191.1579999999999</v>
      </c>
      <c r="BL6" s="123">
        <f>BJ6/BI6</f>
        <v>0.72243833609507613</v>
      </c>
      <c r="BM6" s="123">
        <f>BH6/BI6</f>
        <v>0.49781266251255835</v>
      </c>
      <c r="BN6" s="123" t="s">
        <v>4</v>
      </c>
      <c r="BO6" s="123">
        <v>60</v>
      </c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98"/>
      <c r="CC6" s="4" t="s">
        <v>3</v>
      </c>
      <c r="CD6" s="100">
        <v>135.86699999999999</v>
      </c>
      <c r="CE6" s="5">
        <v>269.76900000000001</v>
      </c>
      <c r="CF6" s="5">
        <v>370.29599999999999</v>
      </c>
      <c r="CG6" s="104">
        <f>SUM(CD6:CF6)</f>
        <v>775.93200000000002</v>
      </c>
      <c r="CH6" s="123">
        <f>CF6/CE6</f>
        <v>1.3726410373319395</v>
      </c>
      <c r="CI6" s="123">
        <f>CD6/CE6</f>
        <v>0.50364200482635135</v>
      </c>
      <c r="CJ6" s="123" t="s">
        <v>4</v>
      </c>
      <c r="CK6" s="123">
        <v>100</v>
      </c>
      <c r="CS6" s="4" t="s">
        <v>5</v>
      </c>
      <c r="CT6" s="5">
        <v>1.19618E-5</v>
      </c>
      <c r="CU6" s="5">
        <v>3359.15</v>
      </c>
      <c r="CV6" s="5">
        <v>1321.32</v>
      </c>
      <c r="CW6" s="108">
        <f t="shared" si="0"/>
        <v>4680.4700119618001</v>
      </c>
      <c r="CX6" s="123">
        <f t="shared" si="1"/>
        <v>0.39334950806007468</v>
      </c>
      <c r="CY6" s="123">
        <f t="shared" si="2"/>
        <v>3.560960361996338E-9</v>
      </c>
      <c r="CZ6" s="123"/>
      <c r="DA6" s="123"/>
      <c r="DB6" s="123" t="s">
        <v>403</v>
      </c>
      <c r="DC6" s="123">
        <v>1</v>
      </c>
      <c r="DD6" s="98"/>
      <c r="DE6" s="4" t="s">
        <v>5</v>
      </c>
      <c r="DF6" s="5">
        <v>46516.4</v>
      </c>
      <c r="DG6" s="5">
        <v>3317.62</v>
      </c>
      <c r="DH6" s="5">
        <v>1344.2</v>
      </c>
      <c r="DI6" s="108">
        <f t="shared" si="3"/>
        <v>51178.22</v>
      </c>
      <c r="DJ6" s="123">
        <f t="shared" si="4"/>
        <v>0.40516997124444637</v>
      </c>
      <c r="DK6" s="123">
        <f t="shared" si="5"/>
        <v>14.021015065016488</v>
      </c>
      <c r="DL6" s="123"/>
      <c r="DM6" s="123"/>
      <c r="DN6" s="123"/>
      <c r="DO6" s="123"/>
      <c r="DP6" s="98"/>
      <c r="DQ6" s="4" t="s">
        <v>5</v>
      </c>
      <c r="DR6" s="5">
        <v>26592.5</v>
      </c>
      <c r="DS6" s="5">
        <v>6199.63</v>
      </c>
      <c r="DT6" s="5">
        <v>2757.53</v>
      </c>
      <c r="DU6" s="108">
        <f t="shared" si="6"/>
        <v>35549.659999999996</v>
      </c>
      <c r="DV6" s="123">
        <f t="shared" si="7"/>
        <v>0.44478944711216639</v>
      </c>
      <c r="DW6" s="123">
        <f t="shared" si="8"/>
        <v>4.2893688816913267</v>
      </c>
      <c r="DX6" s="123"/>
      <c r="DY6" s="123"/>
      <c r="DZ6" s="123"/>
      <c r="EA6" s="123"/>
      <c r="EB6" s="98"/>
      <c r="EC6" s="4" t="s">
        <v>5</v>
      </c>
      <c r="ED6" s="5">
        <v>32888.699999999997</v>
      </c>
      <c r="EE6" s="5">
        <v>7134.52</v>
      </c>
      <c r="EF6" s="5">
        <v>2842.53</v>
      </c>
      <c r="EG6" s="108">
        <f t="shared" si="9"/>
        <v>42865.75</v>
      </c>
      <c r="EH6" s="123">
        <f t="shared" si="10"/>
        <v>0.3984192349310115</v>
      </c>
      <c r="EI6" s="123">
        <f t="shared" si="11"/>
        <v>4.6097985568755844</v>
      </c>
      <c r="EJ6" s="123"/>
      <c r="EK6" s="123"/>
      <c r="EL6" s="123"/>
      <c r="EM6" s="123"/>
      <c r="EN6" s="98"/>
      <c r="EO6" s="4" t="s">
        <v>5</v>
      </c>
      <c r="EP6" s="5">
        <v>19252.3</v>
      </c>
      <c r="EQ6" s="5">
        <v>9038.98</v>
      </c>
      <c r="ER6" s="5">
        <v>2863.58</v>
      </c>
      <c r="ES6" s="108">
        <f t="shared" si="12"/>
        <v>31154.86</v>
      </c>
      <c r="ET6" s="123">
        <f t="shared" si="13"/>
        <v>0.31680344463645232</v>
      </c>
      <c r="EU6" s="123">
        <f t="shared" si="14"/>
        <v>2.1299195263182349</v>
      </c>
      <c r="EV6" s="123"/>
      <c r="EW6" s="123"/>
      <c r="EX6" s="123"/>
      <c r="EY6" s="123"/>
      <c r="EZ6" s="98"/>
      <c r="FA6" s="4" t="s">
        <v>5</v>
      </c>
      <c r="FB6" s="5">
        <v>12490.9</v>
      </c>
      <c r="FC6" s="5">
        <v>67857.7</v>
      </c>
      <c r="FD6" s="5">
        <v>32130.1</v>
      </c>
      <c r="FE6" s="108">
        <f t="shared" si="15"/>
        <v>112478.69999999998</v>
      </c>
      <c r="FF6" s="123">
        <f t="shared" si="16"/>
        <v>0.47349232290513826</v>
      </c>
      <c r="FG6" s="123">
        <f t="shared" si="17"/>
        <v>0.18407490970074142</v>
      </c>
      <c r="FH6" s="85" t="s">
        <v>49</v>
      </c>
      <c r="FI6" s="124">
        <f>FI3+FI4+FI5</f>
        <v>3400</v>
      </c>
      <c r="FJ6" s="123" t="s">
        <v>457</v>
      </c>
      <c r="FK6" s="123"/>
      <c r="FL6" s="98"/>
    </row>
    <row r="7" spans="1:168" ht="15.75" thickBot="1">
      <c r="A7" s="54" t="s">
        <v>4</v>
      </c>
      <c r="B7" s="55">
        <v>1204.32</v>
      </c>
      <c r="C7" s="55">
        <v>2023.86</v>
      </c>
      <c r="D7" s="55">
        <v>426.584</v>
      </c>
      <c r="E7" s="190">
        <f t="shared" ref="E7:E9" si="18">SUM(B7:D7)</f>
        <v>3654.7639999999997</v>
      </c>
      <c r="F7" s="123">
        <f t="shared" ref="F7:F9" si="19">D7/C7</f>
        <v>0.21077742531598037</v>
      </c>
      <c r="G7" s="123">
        <f t="shared" ref="G7:G9" si="20">B7/C7</f>
        <v>0.59506092318638637</v>
      </c>
      <c r="H7" s="123" t="s">
        <v>5</v>
      </c>
      <c r="I7" s="123">
        <v>4</v>
      </c>
      <c r="S7" s="4" t="s">
        <v>4</v>
      </c>
      <c r="T7" s="5">
        <v>1244.21</v>
      </c>
      <c r="U7" s="5">
        <v>2122.9699999999998</v>
      </c>
      <c r="V7" s="5">
        <v>777.66200000000003</v>
      </c>
      <c r="W7" s="106">
        <f t="shared" ref="W7:W9" si="21">SUM(T7:V7)</f>
        <v>4144.8419999999996</v>
      </c>
      <c r="X7" s="123">
        <f t="shared" ref="X7:X9" si="22">V7/U7</f>
        <v>0.36630852061027719</v>
      </c>
      <c r="Y7" s="123">
        <f t="shared" ref="Y7:Y9" si="23">T7/U7</f>
        <v>0.58607045789624923</v>
      </c>
      <c r="Z7" s="123" t="s">
        <v>5</v>
      </c>
      <c r="AA7" s="123">
        <v>8</v>
      </c>
      <c r="AJ7" s="54" t="s">
        <v>4</v>
      </c>
      <c r="AK7" s="55">
        <v>2599.87</v>
      </c>
      <c r="AL7" s="55">
        <v>5150.12</v>
      </c>
      <c r="AM7" s="55">
        <v>833.71299999999997</v>
      </c>
      <c r="AN7" s="190">
        <f t="shared" ref="AN7:AN9" si="24">SUM(AK7:AM7)</f>
        <v>8583.7029999999995</v>
      </c>
      <c r="AO7" s="123">
        <f t="shared" ref="AO7:AO9" si="25">AM7/AL7</f>
        <v>0.161882247403944</v>
      </c>
      <c r="AP7" s="123">
        <f t="shared" ref="AP7:AP9" si="26">AK7/AL7</f>
        <v>0.50481736347890926</v>
      </c>
      <c r="AQ7" s="123" t="s">
        <v>5</v>
      </c>
      <c r="AR7" s="123">
        <v>15</v>
      </c>
      <c r="BG7" s="4" t="s">
        <v>4</v>
      </c>
      <c r="BH7" s="5">
        <v>534.31399999999996</v>
      </c>
      <c r="BI7" s="5">
        <v>1113.3</v>
      </c>
      <c r="BJ7" s="5">
        <v>804.28899999999999</v>
      </c>
      <c r="BK7" s="106">
        <f t="shared" ref="BK7:BK9" si="27">SUM(BH7:BJ7)</f>
        <v>2451.9030000000002</v>
      </c>
      <c r="BL7" s="123">
        <f t="shared" ref="BL7:BL9" si="28">BJ7/BI7</f>
        <v>0.72243689930836252</v>
      </c>
      <c r="BM7" s="123">
        <f t="shared" ref="BM7:BM9" si="29">BH7/BI7</f>
        <v>0.47993712386598397</v>
      </c>
      <c r="BN7" s="123" t="s">
        <v>5</v>
      </c>
      <c r="BO7" s="123">
        <v>25</v>
      </c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98"/>
      <c r="CC7" s="4" t="s">
        <v>4</v>
      </c>
      <c r="CD7" s="5">
        <v>272.51600000000002</v>
      </c>
      <c r="CE7" s="5">
        <v>541.702</v>
      </c>
      <c r="CF7" s="5">
        <v>743.56200000000001</v>
      </c>
      <c r="CG7" s="106">
        <f t="shared" ref="CG7:CG9" si="30">SUM(CD7:CF7)</f>
        <v>1557.7800000000002</v>
      </c>
      <c r="CH7" s="123">
        <f t="shared" ref="CH7:CH9" si="31">CF7/CE7</f>
        <v>1.3726403077706932</v>
      </c>
      <c r="CI7" s="123">
        <f t="shared" ref="CI7:CI9" si="32">CD7/CE7</f>
        <v>0.50307364565757562</v>
      </c>
      <c r="CJ7" s="123" t="s">
        <v>5</v>
      </c>
      <c r="CK7" s="123">
        <v>40</v>
      </c>
      <c r="CS7" s="7"/>
      <c r="CT7" s="5">
        <f>SUM(CT4:CT6)</f>
        <v>4.2210300105557E-5</v>
      </c>
      <c r="CU7" s="107">
        <f>SUM(CU4:CU6)</f>
        <v>11899.000030294101</v>
      </c>
      <c r="CV7" s="109">
        <f>SUM(CV4:CV6)</f>
        <v>4680.4700119161998</v>
      </c>
      <c r="CW7" s="101">
        <f t="shared" si="0"/>
        <v>16579.470084420602</v>
      </c>
      <c r="CX7" s="123">
        <f t="shared" si="1"/>
        <v>0.39334986133288674</v>
      </c>
      <c r="CY7" s="123">
        <f t="shared" si="2"/>
        <v>3.5473821327920203E-9</v>
      </c>
      <c r="CZ7" s="123"/>
      <c r="DA7" s="123"/>
      <c r="DB7" s="123" t="s">
        <v>402</v>
      </c>
      <c r="DC7" s="123"/>
      <c r="DD7" s="98"/>
      <c r="DE7" s="7"/>
      <c r="DF7" s="105">
        <f>SUM(DF4:DF6)</f>
        <v>1591720.4</v>
      </c>
      <c r="DG7" s="107">
        <f>SUM(DG4:DG6)</f>
        <v>126312.5</v>
      </c>
      <c r="DH7" s="109">
        <f>SUM(DH4:DH6)</f>
        <v>51178.149999999994</v>
      </c>
      <c r="DI7" s="101">
        <f t="shared" si="3"/>
        <v>1769211.0499999998</v>
      </c>
      <c r="DJ7" s="123">
        <f t="shared" si="4"/>
        <v>0.40517090549233048</v>
      </c>
      <c r="DK7" s="123">
        <f t="shared" si="5"/>
        <v>12.601447996041562</v>
      </c>
      <c r="DL7" s="123"/>
      <c r="DM7" s="123"/>
      <c r="DN7" s="123"/>
      <c r="DO7" s="123"/>
      <c r="DP7" s="98"/>
      <c r="DQ7" s="7"/>
      <c r="DR7" s="105">
        <f>SUM(DR4:DR6)</f>
        <v>332100.5</v>
      </c>
      <c r="DS7" s="107">
        <f>SUM(DS4:DS6)</f>
        <v>79924.53</v>
      </c>
      <c r="DT7" s="109">
        <f>SUM(DT4:DT6)</f>
        <v>35549.68</v>
      </c>
      <c r="DU7" s="101">
        <f t="shared" si="6"/>
        <v>447574.71</v>
      </c>
      <c r="DV7" s="123">
        <f t="shared" si="7"/>
        <v>0.4447906043363658</v>
      </c>
      <c r="DW7" s="123">
        <f t="shared" si="8"/>
        <v>4.1551761392904032</v>
      </c>
      <c r="DX7" s="123"/>
      <c r="DY7" s="123"/>
      <c r="DZ7" s="123"/>
      <c r="EA7" s="123"/>
      <c r="EB7" s="98"/>
      <c r="EC7" s="7"/>
      <c r="ED7" s="105">
        <f>SUM(ED4:ED6)</f>
        <v>463139</v>
      </c>
      <c r="EE7" s="107">
        <f>SUM(EE4:EE6)</f>
        <v>107589.72</v>
      </c>
      <c r="EF7" s="109">
        <f>SUM(EF4:EF6)</f>
        <v>42865.81</v>
      </c>
      <c r="EG7" s="101">
        <f t="shared" si="9"/>
        <v>613594.53</v>
      </c>
      <c r="EH7" s="123">
        <f t="shared" si="10"/>
        <v>0.39841919841412354</v>
      </c>
      <c r="EI7" s="123">
        <f t="shared" si="11"/>
        <v>4.30467706394254</v>
      </c>
      <c r="EJ7" s="123"/>
      <c r="EK7" s="123"/>
      <c r="EL7" s="123"/>
      <c r="EM7" s="123"/>
      <c r="EN7" s="98"/>
      <c r="EO7" s="7"/>
      <c r="EP7" s="105">
        <f>SUM(EP4:EP6)</f>
        <v>216880.59999999998</v>
      </c>
      <c r="EQ7" s="107">
        <f>SUM(EQ4:EQ6)</f>
        <v>98341.08</v>
      </c>
      <c r="ER7" s="109">
        <f>SUM(ER4:ER6)</f>
        <v>31154.86</v>
      </c>
      <c r="ES7" s="101">
        <f t="shared" si="12"/>
        <v>346376.54</v>
      </c>
      <c r="ET7" s="123">
        <f t="shared" si="13"/>
        <v>0.31680412702402699</v>
      </c>
      <c r="EU7" s="123">
        <f t="shared" si="14"/>
        <v>2.2053916837195602</v>
      </c>
      <c r="EV7" s="123"/>
      <c r="EW7" s="123"/>
      <c r="EX7" s="123"/>
      <c r="EY7" s="123"/>
      <c r="EZ7" s="98"/>
      <c r="FA7" s="7"/>
      <c r="FB7" s="105">
        <f>SUM(FB4:FB6)</f>
        <v>49283.56</v>
      </c>
      <c r="FC7" s="107">
        <f>SUM(FC4:FC6)</f>
        <v>237551.09999999998</v>
      </c>
      <c r="FD7" s="109">
        <f>SUM(FD4:FD6)</f>
        <v>112478.69999999998</v>
      </c>
      <c r="FE7" s="101">
        <f t="shared" si="15"/>
        <v>399313.36</v>
      </c>
      <c r="FF7" s="123">
        <f t="shared" si="16"/>
        <v>0.47349265063390567</v>
      </c>
      <c r="FG7" s="123">
        <f t="shared" si="17"/>
        <v>0.20746508856410265</v>
      </c>
      <c r="FH7" s="123"/>
      <c r="FI7" s="123"/>
      <c r="FJ7" s="123"/>
      <c r="FK7" s="123"/>
      <c r="FL7" s="98"/>
    </row>
    <row r="8" spans="1:168" ht="15.75" thickTop="1">
      <c r="A8" s="54" t="s">
        <v>5</v>
      </c>
      <c r="B8" s="55">
        <v>272.99200000000002</v>
      </c>
      <c r="C8" s="55">
        <v>410.76900000000001</v>
      </c>
      <c r="D8" s="55">
        <v>86.581100000000006</v>
      </c>
      <c r="E8" s="191">
        <f t="shared" si="18"/>
        <v>770.34209999999996</v>
      </c>
      <c r="F8" s="123">
        <f t="shared" si="19"/>
        <v>0.21077807721614827</v>
      </c>
      <c r="G8" s="123">
        <f t="shared" si="20"/>
        <v>0.66458763928144537</v>
      </c>
      <c r="S8" s="4" t="s">
        <v>5</v>
      </c>
      <c r="T8" s="5">
        <v>487.19900000000001</v>
      </c>
      <c r="U8" s="5">
        <v>754.654</v>
      </c>
      <c r="V8" s="5">
        <v>276.43599999999998</v>
      </c>
      <c r="W8" s="108">
        <f t="shared" si="21"/>
        <v>1518.289</v>
      </c>
      <c r="X8" s="123">
        <f t="shared" si="22"/>
        <v>0.36630826842500003</v>
      </c>
      <c r="Y8" s="123">
        <f t="shared" si="23"/>
        <v>0.64559254969827229</v>
      </c>
      <c r="AJ8" s="54" t="s">
        <v>5</v>
      </c>
      <c r="AK8" s="55">
        <v>415.71699999999998</v>
      </c>
      <c r="AL8" s="55">
        <v>838.15099999999995</v>
      </c>
      <c r="AM8" s="55">
        <v>135.68199999999999</v>
      </c>
      <c r="AN8" s="191">
        <f t="shared" si="24"/>
        <v>1389.55</v>
      </c>
      <c r="AO8" s="123">
        <f t="shared" si="25"/>
        <v>0.16188252474792728</v>
      </c>
      <c r="AP8" s="123">
        <f t="shared" si="26"/>
        <v>0.49599296546803617</v>
      </c>
      <c r="BG8" s="4" t="s">
        <v>5</v>
      </c>
      <c r="BH8" s="5">
        <v>389.76900000000001</v>
      </c>
      <c r="BI8" s="5">
        <v>802.10599999999999</v>
      </c>
      <c r="BJ8" s="5">
        <v>579.47199999999998</v>
      </c>
      <c r="BK8" s="108">
        <f t="shared" si="27"/>
        <v>1771.347</v>
      </c>
      <c r="BL8" s="123">
        <f t="shared" si="28"/>
        <v>0.72243818148723482</v>
      </c>
      <c r="BM8" s="123">
        <f t="shared" si="29"/>
        <v>0.48593203392070378</v>
      </c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98"/>
      <c r="CC8" s="4" t="s">
        <v>5</v>
      </c>
      <c r="CD8" s="5">
        <v>367.54899999999998</v>
      </c>
      <c r="CE8" s="5">
        <v>746.30899999999997</v>
      </c>
      <c r="CF8" s="5">
        <v>1024.4100000000001</v>
      </c>
      <c r="CG8" s="108">
        <f t="shared" si="30"/>
        <v>2138.268</v>
      </c>
      <c r="CH8" s="123">
        <f t="shared" si="31"/>
        <v>1.37263519534134</v>
      </c>
      <c r="CI8" s="123">
        <f t="shared" si="32"/>
        <v>0.49248903604271155</v>
      </c>
      <c r="CS8" s="130"/>
      <c r="CT8" s="123"/>
      <c r="CU8" s="123"/>
      <c r="CV8" s="123"/>
      <c r="CW8" s="123"/>
      <c r="CX8" s="124" t="s">
        <v>420</v>
      </c>
      <c r="CY8" s="103">
        <f>AVERAGE(CY4:CY6)</f>
        <v>3.5291364511817083E-9</v>
      </c>
      <c r="CZ8" s="123"/>
      <c r="DA8" s="123"/>
      <c r="DB8" s="123" t="s">
        <v>401</v>
      </c>
      <c r="DC8" s="123">
        <v>500</v>
      </c>
      <c r="DD8" s="98"/>
      <c r="DE8" s="130"/>
      <c r="DF8" s="123"/>
      <c r="DG8" s="123"/>
      <c r="DH8" s="123"/>
      <c r="DI8" s="123"/>
      <c r="DJ8" s="124" t="s">
        <v>420</v>
      </c>
      <c r="DK8" s="103">
        <f>AVERAGE(DK4:DK6)</f>
        <v>13.177311101534476</v>
      </c>
      <c r="DL8" s="123"/>
      <c r="DM8" s="123"/>
      <c r="DN8" s="123"/>
      <c r="DO8" s="123"/>
      <c r="DP8" s="98"/>
      <c r="DQ8" s="130"/>
      <c r="DR8" s="123"/>
      <c r="DS8" s="123"/>
      <c r="DT8" s="123"/>
      <c r="DU8" s="123"/>
      <c r="DV8" s="124" t="s">
        <v>420</v>
      </c>
      <c r="DW8" s="103">
        <f>AVERAGE(DW4:DW6)</f>
        <v>4.165181590179885</v>
      </c>
      <c r="DX8" s="123"/>
      <c r="DY8" s="123"/>
      <c r="DZ8" s="123"/>
      <c r="EA8" s="123"/>
      <c r="EB8" s="98"/>
      <c r="EC8" s="130"/>
      <c r="ED8" s="123"/>
      <c r="EE8" s="123"/>
      <c r="EF8" s="123"/>
      <c r="EG8" s="123"/>
      <c r="EH8" s="124" t="s">
        <v>420</v>
      </c>
      <c r="EI8" s="103">
        <f>AVERAGE(EI4:EI6)</f>
        <v>4.4392622821873751</v>
      </c>
      <c r="EJ8" s="123"/>
      <c r="EK8" s="123"/>
      <c r="EL8" s="123"/>
      <c r="EM8" s="123"/>
      <c r="EN8" s="98"/>
      <c r="EO8" s="130"/>
      <c r="EP8" s="123"/>
      <c r="EQ8" s="123"/>
      <c r="ER8" s="123"/>
      <c r="ES8" s="123"/>
      <c r="ET8" s="124" t="s">
        <v>420</v>
      </c>
      <c r="EU8" s="103">
        <f>AVERAGE(EU4:EU6)</f>
        <v>2.1878970207544941</v>
      </c>
      <c r="EV8" s="123"/>
      <c r="EW8" s="123"/>
      <c r="EX8" s="123"/>
      <c r="EY8" s="123"/>
      <c r="EZ8" s="98"/>
      <c r="FA8" s="130"/>
      <c r="FB8" s="123"/>
      <c r="FC8" s="123"/>
      <c r="FD8" s="123"/>
      <c r="FE8" s="123"/>
      <c r="FF8" s="124" t="s">
        <v>420</v>
      </c>
      <c r="FG8" s="103">
        <f>AVERAGE(FG4:FG6)</f>
        <v>0.17639476368593679</v>
      </c>
      <c r="FH8" s="123"/>
      <c r="FI8" s="123"/>
      <c r="FJ8" s="123"/>
      <c r="FK8" s="123"/>
      <c r="FL8" s="98"/>
    </row>
    <row r="9" spans="1:168" ht="15.75" thickBot="1">
      <c r="A9" s="57"/>
      <c r="B9" s="192">
        <f>SUM(B6:B8)</f>
        <v>2034.184</v>
      </c>
      <c r="C9" s="193">
        <f>SUM(C6:C8)</f>
        <v>3654.7690000000002</v>
      </c>
      <c r="D9" s="194">
        <f>SUM(D6:D8)</f>
        <v>770.34309999999994</v>
      </c>
      <c r="E9" s="195">
        <f t="shared" si="18"/>
        <v>6459.2961000000005</v>
      </c>
      <c r="F9" s="123">
        <f t="shared" si="19"/>
        <v>0.21077750741565332</v>
      </c>
      <c r="G9" s="123">
        <f t="shared" si="20"/>
        <v>0.55658346669789527</v>
      </c>
      <c r="S9" s="7"/>
      <c r="T9" s="105">
        <f>SUM(T6:T8)</f>
        <v>2477.029</v>
      </c>
      <c r="U9" s="107">
        <f>SUM(U6:U8)</f>
        <v>4144.8339999999998</v>
      </c>
      <c r="V9" s="109">
        <f>SUM(V6:V8)</f>
        <v>1518.289</v>
      </c>
      <c r="W9" s="101">
        <f t="shared" si="21"/>
        <v>8140.1519999999991</v>
      </c>
      <c r="X9" s="123">
        <f t="shared" si="22"/>
        <v>0.36630875928927431</v>
      </c>
      <c r="Y9" s="123">
        <f t="shared" si="23"/>
        <v>0.59761838471697537</v>
      </c>
      <c r="AJ9" s="57"/>
      <c r="AK9" s="192">
        <f>SUM(AK6:AK8)</f>
        <v>4320.9669999999996</v>
      </c>
      <c r="AL9" s="193">
        <f>SUM(AL6:AL8)</f>
        <v>8583.7009999999991</v>
      </c>
      <c r="AM9" s="194">
        <f>SUM(AM6:AM8)</f>
        <v>1389.549</v>
      </c>
      <c r="AN9" s="195">
        <f t="shared" si="24"/>
        <v>14294.216999999997</v>
      </c>
      <c r="AO9" s="123">
        <f t="shared" si="25"/>
        <v>0.16188226966433245</v>
      </c>
      <c r="AP9" s="123">
        <f t="shared" si="26"/>
        <v>0.50339206829315231</v>
      </c>
      <c r="BG9" s="7"/>
      <c r="BH9" s="105">
        <f>SUM(BH6:BH8)</f>
        <v>1191.1579999999999</v>
      </c>
      <c r="BI9" s="107">
        <f>SUM(BI6:BI8)</f>
        <v>2451.9030000000002</v>
      </c>
      <c r="BJ9" s="109">
        <f>SUM(BJ6:BJ8)</f>
        <v>1771.347</v>
      </c>
      <c r="BK9" s="101">
        <f t="shared" si="27"/>
        <v>5414.4080000000004</v>
      </c>
      <c r="BL9" s="123">
        <f t="shared" si="28"/>
        <v>0.72243763313638421</v>
      </c>
      <c r="BM9" s="123">
        <f t="shared" si="29"/>
        <v>0.48580959360953502</v>
      </c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98"/>
      <c r="CC9" s="7"/>
      <c r="CD9" s="105">
        <f>SUM(CD6:CD8)</f>
        <v>775.93200000000002</v>
      </c>
      <c r="CE9" s="107">
        <f>SUM(CE6:CE8)</f>
        <v>1557.78</v>
      </c>
      <c r="CF9" s="109">
        <f>SUM(CF6:CF8)</f>
        <v>2138.268</v>
      </c>
      <c r="CG9" s="101">
        <f t="shared" si="30"/>
        <v>4471.9799999999996</v>
      </c>
      <c r="CH9" s="123">
        <f t="shared" si="31"/>
        <v>1.372637984824558</v>
      </c>
      <c r="CI9" s="123">
        <f t="shared" si="32"/>
        <v>0.49810114393560068</v>
      </c>
      <c r="CS9" s="130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98"/>
      <c r="DE9" s="130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98"/>
      <c r="DQ9" s="130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98"/>
      <c r="EC9" s="130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98"/>
      <c r="EO9" s="130"/>
      <c r="EP9" s="123"/>
      <c r="EQ9" s="123"/>
      <c r="ER9" s="123"/>
      <c r="ES9" s="123"/>
      <c r="ET9" s="123"/>
      <c r="EU9" s="123"/>
      <c r="EV9" s="123"/>
      <c r="EW9" s="123"/>
      <c r="EX9" s="123"/>
      <c r="EY9" s="123"/>
      <c r="EZ9" s="98"/>
      <c r="FA9" s="130"/>
      <c r="FB9" s="123"/>
      <c r="FC9" s="123"/>
      <c r="FD9" s="123"/>
      <c r="FE9" s="123"/>
      <c r="FF9" s="123"/>
      <c r="FG9" s="123"/>
      <c r="FH9" s="123"/>
      <c r="FI9" s="123"/>
      <c r="FJ9" s="123" t="s">
        <v>419</v>
      </c>
      <c r="FK9" s="123">
        <v>1E-3</v>
      </c>
      <c r="FL9" s="98"/>
    </row>
    <row r="10" spans="1:168" ht="16.5" thickTop="1" thickBot="1">
      <c r="A10" s="196" t="s">
        <v>284</v>
      </c>
      <c r="B10" s="208" t="s">
        <v>285</v>
      </c>
      <c r="C10" s="182">
        <f>L5</f>
        <v>0.13652600000000001</v>
      </c>
      <c r="D10" s="197"/>
      <c r="E10" s="198"/>
      <c r="F10" s="124" t="s">
        <v>420</v>
      </c>
      <c r="G10" s="103">
        <f>AVERAGE(G6:G8)</f>
        <v>0.57201621590131735</v>
      </c>
      <c r="I10" s="123">
        <v>642.80893587910396</v>
      </c>
      <c r="J10" s="123">
        <v>363.52162635815301</v>
      </c>
      <c r="K10" s="123">
        <v>38.9388805822935</v>
      </c>
      <c r="X10" s="124" t="s">
        <v>420</v>
      </c>
      <c r="Y10" s="103">
        <f>AVERAGE(Y6:Y8)</f>
        <v>0.6066859951793977</v>
      </c>
      <c r="AA10" s="123">
        <v>502.64539743477599</v>
      </c>
      <c r="AB10" s="123">
        <v>432.99963478956897</v>
      </c>
      <c r="AC10" s="123">
        <v>434.22188394815697</v>
      </c>
      <c r="AD10" s="123">
        <v>724.24030080198895</v>
      </c>
      <c r="AE10" s="123">
        <v>610.22506253677</v>
      </c>
      <c r="AF10" s="123">
        <v>904.21446142571995</v>
      </c>
      <c r="AG10" s="123">
        <v>941.87217641838595</v>
      </c>
      <c r="AJ10" s="196" t="s">
        <v>286</v>
      </c>
      <c r="AK10" s="208" t="s">
        <v>285</v>
      </c>
      <c r="AL10" s="182">
        <f>AU5</f>
        <v>0.10761999999999999</v>
      </c>
      <c r="AM10" s="197"/>
      <c r="AN10" s="198"/>
      <c r="AO10" s="124" t="s">
        <v>420</v>
      </c>
      <c r="AP10" s="103">
        <f>AVERAGE(AP6:AP8)</f>
        <v>0.50125453226874039</v>
      </c>
      <c r="AR10" s="123">
        <v>813.18176931050198</v>
      </c>
      <c r="AS10" s="123">
        <v>264.43725044968198</v>
      </c>
      <c r="AT10" s="123">
        <v>611.20687932039004</v>
      </c>
      <c r="AU10" s="123">
        <v>105.05801738940499</v>
      </c>
      <c r="AV10" s="123">
        <v>198.905549465245</v>
      </c>
      <c r="AW10" s="123">
        <v>100.87425543581099</v>
      </c>
      <c r="AX10" s="123">
        <v>292.87034241199098</v>
      </c>
      <c r="AY10" s="123">
        <v>500.72060908402699</v>
      </c>
      <c r="AZ10" s="123">
        <v>184.803662698907</v>
      </c>
      <c r="BA10" s="123">
        <v>876.68494526874395</v>
      </c>
      <c r="BB10" s="123">
        <v>490.76727693721102</v>
      </c>
      <c r="BC10" s="123">
        <v>424.26343281843901</v>
      </c>
      <c r="BD10" s="123">
        <v>775.74166828441196</v>
      </c>
      <c r="BE10" s="123">
        <v>57.490228501770297</v>
      </c>
      <c r="BG10" s="130"/>
      <c r="BH10" s="123"/>
      <c r="BI10" s="123"/>
      <c r="BJ10" s="123"/>
      <c r="BK10" s="123"/>
      <c r="BL10" s="124" t="s">
        <v>420</v>
      </c>
      <c r="BM10" s="103">
        <f>AVERAGE(BM6:BM8)</f>
        <v>0.48789394009974868</v>
      </c>
      <c r="BN10" s="123"/>
      <c r="BO10" s="123">
        <v>813.18176931050198</v>
      </c>
      <c r="BP10" s="123">
        <v>264.43725044968198</v>
      </c>
      <c r="BQ10" s="123">
        <v>611.20687932039004</v>
      </c>
      <c r="BR10" s="123">
        <v>105.05801738940499</v>
      </c>
      <c r="BS10" s="123">
        <v>198.905549465245</v>
      </c>
      <c r="BT10" s="123">
        <v>100.87425543581099</v>
      </c>
      <c r="BU10" s="123">
        <v>292.87034241199098</v>
      </c>
      <c r="BV10" s="123">
        <v>500.72060908402699</v>
      </c>
      <c r="BW10" s="123">
        <v>184.803662698907</v>
      </c>
      <c r="BX10" s="123">
        <v>876.68494526874395</v>
      </c>
      <c r="BY10" s="123">
        <v>490.76727693721102</v>
      </c>
      <c r="BZ10" s="123">
        <v>424.26343281843901</v>
      </c>
      <c r="CA10" s="123">
        <v>775.74166828441196</v>
      </c>
      <c r="CB10" s="98">
        <v>57.490228501770297</v>
      </c>
      <c r="CC10" s="130"/>
      <c r="CH10" s="124" t="s">
        <v>420</v>
      </c>
      <c r="CI10" s="103">
        <f>AVERAGE(CI6:CI8)</f>
        <v>0.49973489550887945</v>
      </c>
      <c r="CS10" s="140" t="s">
        <v>254</v>
      </c>
      <c r="CT10" s="123"/>
      <c r="CU10" s="123"/>
      <c r="CV10" s="123"/>
      <c r="CW10" s="123"/>
      <c r="CX10" s="123"/>
      <c r="CY10" s="123"/>
      <c r="CZ10" s="123"/>
      <c r="DA10" s="123"/>
      <c r="DB10" s="124" t="s">
        <v>218</v>
      </c>
      <c r="DC10" s="123"/>
      <c r="DD10" s="98"/>
      <c r="DE10" s="140" t="s">
        <v>254</v>
      </c>
      <c r="DF10" s="123"/>
      <c r="DG10" s="123"/>
      <c r="DH10" s="123"/>
      <c r="DI10" s="123"/>
      <c r="DJ10" s="123"/>
      <c r="DK10" s="123"/>
      <c r="DL10" s="123"/>
      <c r="DM10" s="123"/>
      <c r="DN10" s="124" t="s">
        <v>218</v>
      </c>
      <c r="DO10" s="123"/>
      <c r="DP10" s="98"/>
      <c r="DQ10" s="140" t="s">
        <v>254</v>
      </c>
      <c r="DR10" s="123"/>
      <c r="DS10" s="123"/>
      <c r="DT10" s="123"/>
      <c r="DU10" s="123"/>
      <c r="DV10" s="123"/>
      <c r="DW10" s="123"/>
      <c r="DX10" s="123"/>
      <c r="DY10" s="123"/>
      <c r="DZ10" s="124" t="s">
        <v>218</v>
      </c>
      <c r="EA10" s="123"/>
      <c r="EB10" s="98"/>
      <c r="EC10" s="140" t="s">
        <v>254</v>
      </c>
      <c r="ED10" s="123"/>
      <c r="EE10" s="123"/>
      <c r="EF10" s="123"/>
      <c r="EG10" s="123"/>
      <c r="EH10" s="123"/>
      <c r="EI10" s="123"/>
      <c r="EJ10" s="123"/>
      <c r="EK10" s="123"/>
      <c r="EL10" s="124" t="s">
        <v>218</v>
      </c>
      <c r="EM10" s="123"/>
      <c r="EN10" s="98"/>
      <c r="EO10" s="140" t="s">
        <v>254</v>
      </c>
      <c r="EP10" s="123"/>
      <c r="EQ10" s="123"/>
      <c r="ER10" s="123"/>
      <c r="ES10" s="123"/>
      <c r="ET10" s="123"/>
      <c r="EU10" s="123"/>
      <c r="EV10" s="123"/>
      <c r="EW10" s="123"/>
      <c r="EX10" s="124" t="s">
        <v>218</v>
      </c>
      <c r="EY10" s="123"/>
      <c r="EZ10" s="98"/>
      <c r="FA10" s="140" t="s">
        <v>254</v>
      </c>
      <c r="FB10" s="123"/>
      <c r="FC10" s="123"/>
      <c r="FD10" s="123"/>
      <c r="FE10" s="123"/>
      <c r="FF10" s="123"/>
      <c r="FG10" s="123"/>
      <c r="FH10" s="123"/>
      <c r="FI10" s="123"/>
      <c r="FJ10" s="124" t="s">
        <v>218</v>
      </c>
      <c r="FK10" s="123"/>
      <c r="FL10" s="98"/>
    </row>
    <row r="11" spans="1:168" ht="16.5" thickTop="1" thickBot="1">
      <c r="A11" s="199" t="s">
        <v>231</v>
      </c>
      <c r="B11" s="209" t="s">
        <v>18</v>
      </c>
      <c r="C11" s="59">
        <f>F9</f>
        <v>0.21077750741565332</v>
      </c>
      <c r="D11" s="200"/>
      <c r="E11" s="201"/>
      <c r="AJ11" s="199" t="s">
        <v>231</v>
      </c>
      <c r="AK11" s="209" t="s">
        <v>18</v>
      </c>
      <c r="AL11" s="59">
        <f>AO9</f>
        <v>0.16188226966433245</v>
      </c>
      <c r="AM11" s="200"/>
      <c r="AN11" s="201"/>
      <c r="AR11" s="123">
        <f>AQ11+1</f>
        <v>1</v>
      </c>
      <c r="AS11" s="123">
        <f t="shared" ref="AS11:BE11" si="33">AR11+1</f>
        <v>2</v>
      </c>
      <c r="AT11" s="123">
        <f t="shared" si="33"/>
        <v>3</v>
      </c>
      <c r="AU11" s="123">
        <f t="shared" si="33"/>
        <v>4</v>
      </c>
      <c r="AV11" s="123">
        <f t="shared" si="33"/>
        <v>5</v>
      </c>
      <c r="AW11" s="123">
        <f t="shared" si="33"/>
        <v>6</v>
      </c>
      <c r="AX11" s="123">
        <f t="shared" si="33"/>
        <v>7</v>
      </c>
      <c r="AY11" s="123">
        <f t="shared" si="33"/>
        <v>8</v>
      </c>
      <c r="AZ11" s="123">
        <f t="shared" si="33"/>
        <v>9</v>
      </c>
      <c r="BA11" s="123">
        <f t="shared" si="33"/>
        <v>10</v>
      </c>
      <c r="BB11" s="123">
        <f t="shared" si="33"/>
        <v>11</v>
      </c>
      <c r="BC11" s="123">
        <f t="shared" si="33"/>
        <v>12</v>
      </c>
      <c r="BD11" s="123">
        <f t="shared" si="33"/>
        <v>13</v>
      </c>
      <c r="BE11" s="123">
        <f t="shared" si="33"/>
        <v>14</v>
      </c>
      <c r="BG11" s="130"/>
      <c r="BH11" s="123"/>
      <c r="BI11" s="123"/>
      <c r="BJ11" s="123"/>
      <c r="BK11" s="123"/>
      <c r="BL11" s="123"/>
      <c r="BM11" s="123"/>
      <c r="BN11" s="123"/>
      <c r="BO11" s="123">
        <f>BN11+1</f>
        <v>1</v>
      </c>
      <c r="BP11" s="123">
        <f t="shared" ref="BP11:CB11" si="34">BO11+1</f>
        <v>2</v>
      </c>
      <c r="BQ11" s="123">
        <f t="shared" si="34"/>
        <v>3</v>
      </c>
      <c r="BR11" s="123">
        <f t="shared" si="34"/>
        <v>4</v>
      </c>
      <c r="BS11" s="123">
        <f t="shared" si="34"/>
        <v>5</v>
      </c>
      <c r="BT11" s="123">
        <f t="shared" si="34"/>
        <v>6</v>
      </c>
      <c r="BU11" s="123">
        <f t="shared" si="34"/>
        <v>7</v>
      </c>
      <c r="BV11" s="123">
        <f t="shared" si="34"/>
        <v>8</v>
      </c>
      <c r="BW11" s="123">
        <f t="shared" si="34"/>
        <v>9</v>
      </c>
      <c r="BX11" s="123">
        <f t="shared" si="34"/>
        <v>10</v>
      </c>
      <c r="BY11" s="123">
        <f t="shared" si="34"/>
        <v>11</v>
      </c>
      <c r="BZ11" s="123">
        <f t="shared" si="34"/>
        <v>12</v>
      </c>
      <c r="CA11" s="123">
        <f t="shared" si="34"/>
        <v>13</v>
      </c>
      <c r="CB11" s="98">
        <f t="shared" si="34"/>
        <v>14</v>
      </c>
      <c r="CC11" s="130"/>
      <c r="CS11" s="1"/>
      <c r="CT11" s="2" t="s">
        <v>8</v>
      </c>
      <c r="CU11" s="2" t="s">
        <v>9</v>
      </c>
      <c r="CV11" s="2" t="s">
        <v>10</v>
      </c>
      <c r="CW11" s="3" t="s">
        <v>11</v>
      </c>
      <c r="CX11" s="103" t="s">
        <v>16</v>
      </c>
      <c r="CY11" s="103" t="s">
        <v>172</v>
      </c>
      <c r="CZ11" s="124" t="s">
        <v>171</v>
      </c>
      <c r="DA11" s="123"/>
      <c r="DB11" s="123">
        <v>9.9999999999999994E-12</v>
      </c>
      <c r="DC11" s="103" t="s">
        <v>212</v>
      </c>
      <c r="DD11" s="98"/>
      <c r="DE11" s="1"/>
      <c r="DF11" s="2" t="s">
        <v>8</v>
      </c>
      <c r="DG11" s="2" t="s">
        <v>9</v>
      </c>
      <c r="DH11" s="2" t="s">
        <v>10</v>
      </c>
      <c r="DI11" s="3" t="s">
        <v>11</v>
      </c>
      <c r="DJ11" s="103" t="s">
        <v>16</v>
      </c>
      <c r="DK11" s="103" t="s">
        <v>172</v>
      </c>
      <c r="DL11" s="124" t="s">
        <v>171</v>
      </c>
      <c r="DM11" s="123"/>
      <c r="DN11" s="123">
        <v>0.04</v>
      </c>
      <c r="DO11" s="103" t="s">
        <v>212</v>
      </c>
      <c r="DP11" s="98"/>
      <c r="DQ11" s="1"/>
      <c r="DR11" s="2" t="s">
        <v>8</v>
      </c>
      <c r="DS11" s="2" t="s">
        <v>9</v>
      </c>
      <c r="DT11" s="2" t="s">
        <v>10</v>
      </c>
      <c r="DU11" s="2" t="s">
        <v>11</v>
      </c>
      <c r="DV11" s="103" t="s">
        <v>16</v>
      </c>
      <c r="DW11" s="103" t="s">
        <v>172</v>
      </c>
      <c r="DX11" s="124" t="s">
        <v>171</v>
      </c>
      <c r="DY11" s="123"/>
      <c r="DZ11" s="123">
        <v>1.5E-3</v>
      </c>
      <c r="EA11" s="103" t="s">
        <v>212</v>
      </c>
      <c r="EB11" s="98"/>
      <c r="EC11" s="1"/>
      <c r="ED11" s="2" t="s">
        <v>8</v>
      </c>
      <c r="EE11" s="2" t="s">
        <v>9</v>
      </c>
      <c r="EF11" s="2" t="s">
        <v>10</v>
      </c>
      <c r="EG11" s="3" t="s">
        <v>11</v>
      </c>
      <c r="EH11" s="103" t="s">
        <v>16</v>
      </c>
      <c r="EI11" s="103" t="s">
        <v>172</v>
      </c>
      <c r="EJ11" s="124" t="s">
        <v>171</v>
      </c>
      <c r="EK11" s="123"/>
      <c r="EL11" s="123">
        <v>1.5E-3</v>
      </c>
      <c r="EM11" s="103" t="s">
        <v>212</v>
      </c>
      <c r="EN11" s="98"/>
      <c r="EO11" s="1"/>
      <c r="EP11" s="2" t="s">
        <v>8</v>
      </c>
      <c r="EQ11" s="2" t="s">
        <v>9</v>
      </c>
      <c r="ER11" s="2" t="s">
        <v>10</v>
      </c>
      <c r="ES11" s="3" t="s">
        <v>11</v>
      </c>
      <c r="ET11" s="103" t="s">
        <v>16</v>
      </c>
      <c r="EU11" s="103" t="s">
        <v>172</v>
      </c>
      <c r="EV11" s="124" t="s">
        <v>171</v>
      </c>
      <c r="EW11" s="123"/>
      <c r="EX11" s="123">
        <v>5.0000000000000001E-3</v>
      </c>
      <c r="EY11" s="103" t="s">
        <v>212</v>
      </c>
      <c r="EZ11" s="98"/>
      <c r="FA11" s="1"/>
      <c r="FB11" s="2" t="s">
        <v>8</v>
      </c>
      <c r="FC11" s="2" t="s">
        <v>9</v>
      </c>
      <c r="FD11" s="2" t="s">
        <v>10</v>
      </c>
      <c r="FE11" s="3" t="s">
        <v>11</v>
      </c>
      <c r="FF11" s="103" t="s">
        <v>16</v>
      </c>
      <c r="FG11" s="103" t="s">
        <v>172</v>
      </c>
      <c r="FH11" s="124" t="s">
        <v>171</v>
      </c>
      <c r="FI11" s="123"/>
      <c r="FJ11" s="123">
        <f>0.13*FK9</f>
        <v>1.3000000000000002E-4</v>
      </c>
      <c r="FK11" s="103" t="s">
        <v>212</v>
      </c>
      <c r="FL11" s="98"/>
    </row>
    <row r="12" spans="1:168" ht="16.5" thickTop="1" thickBot="1">
      <c r="A12" s="389" t="s">
        <v>254</v>
      </c>
      <c r="B12" s="390"/>
      <c r="C12" s="390"/>
      <c r="D12" s="390"/>
      <c r="E12" s="391"/>
      <c r="J12" s="124" t="s">
        <v>218</v>
      </c>
      <c r="L12" s="98"/>
      <c r="S12" s="140" t="s">
        <v>254</v>
      </c>
      <c r="AB12" s="124" t="s">
        <v>218</v>
      </c>
      <c r="AD12" s="98"/>
      <c r="AJ12" s="389" t="s">
        <v>254</v>
      </c>
      <c r="AK12" s="390"/>
      <c r="AL12" s="390"/>
      <c r="AM12" s="390"/>
      <c r="AN12" s="391"/>
      <c r="AS12" s="124"/>
      <c r="AT12" s="124" t="s">
        <v>218</v>
      </c>
      <c r="AV12" s="98"/>
      <c r="BG12" s="140" t="s">
        <v>254</v>
      </c>
      <c r="BH12" s="123"/>
      <c r="BI12" s="123"/>
      <c r="BJ12" s="123"/>
      <c r="BK12" s="123"/>
      <c r="BL12" s="123"/>
      <c r="BM12" s="123"/>
      <c r="BN12" s="123"/>
      <c r="BO12" s="123"/>
      <c r="BP12" s="123"/>
      <c r="BQ12" s="124" t="s">
        <v>218</v>
      </c>
      <c r="BR12" s="123"/>
      <c r="BS12" s="98"/>
      <c r="BT12" s="123"/>
      <c r="BU12" s="123"/>
      <c r="BV12" s="123"/>
      <c r="BW12" s="123"/>
      <c r="BX12" s="123"/>
      <c r="BY12" s="123"/>
      <c r="BZ12" s="123"/>
      <c r="CA12" s="123"/>
      <c r="CB12" s="98"/>
      <c r="CC12" s="140" t="s">
        <v>254</v>
      </c>
      <c r="CM12" s="124" t="s">
        <v>218</v>
      </c>
      <c r="CO12" s="98"/>
      <c r="CS12" s="4" t="s">
        <v>3</v>
      </c>
      <c r="CT12" s="255">
        <f>1.05557*10^-13</f>
        <v>1.0555699999999999E-13</v>
      </c>
      <c r="CU12" s="5">
        <v>3.0294099999999999E-5</v>
      </c>
      <c r="CV12" s="5">
        <v>1.19162E-5</v>
      </c>
      <c r="CW12" s="110">
        <f>SUM(CT12:CV12)</f>
        <v>4.2210300105557E-5</v>
      </c>
      <c r="CX12" s="123">
        <f>CV12/(CT12+CU12)</f>
        <v>0.3933505190277678</v>
      </c>
      <c r="CY12" s="123">
        <f>CT12/CU12</f>
        <v>3.484407854994867E-9</v>
      </c>
      <c r="CZ12" s="125">
        <f>ABS((CW15-CW7)/CW7)</f>
        <v>0</v>
      </c>
      <c r="DA12" s="123"/>
      <c r="DB12" s="123">
        <f>DB11</f>
        <v>9.9999999999999994E-12</v>
      </c>
      <c r="DC12" s="123" t="s">
        <v>213</v>
      </c>
      <c r="DD12" s="98"/>
      <c r="DE12" s="4" t="s">
        <v>3</v>
      </c>
      <c r="DF12" s="100">
        <f>1.42748*10^6</f>
        <v>1427480</v>
      </c>
      <c r="DG12" s="5">
        <v>113986</v>
      </c>
      <c r="DH12" s="5">
        <v>46038.2</v>
      </c>
      <c r="DI12" s="110">
        <f>SUM(DF12:DH12)</f>
        <v>1587504.2</v>
      </c>
      <c r="DJ12" s="123">
        <f>DH12/(DF12+DG12)</f>
        <v>2.9866503704914671E-2</v>
      </c>
      <c r="DK12" s="123">
        <f>DF12/DG12</f>
        <v>12.523292334146298</v>
      </c>
      <c r="DL12" s="125">
        <f>ABS((DI15-DI7)/DI7)</f>
        <v>2.5251368399490837E-3</v>
      </c>
      <c r="DM12" s="123"/>
      <c r="DN12" s="123">
        <f>DN11</f>
        <v>0.04</v>
      </c>
      <c r="DO12" s="123" t="s">
        <v>213</v>
      </c>
      <c r="DP12" s="98"/>
      <c r="DQ12" s="4" t="s">
        <v>3</v>
      </c>
      <c r="DR12" s="100">
        <v>246284</v>
      </c>
      <c r="DS12" s="5">
        <v>58897.599999999999</v>
      </c>
      <c r="DT12" s="5">
        <v>26386.3</v>
      </c>
      <c r="DU12" s="256">
        <f>SUM(DR12:DT12)</f>
        <v>331567.89999999997</v>
      </c>
      <c r="DV12" s="123">
        <f>DT12/(DR12+DS12)</f>
        <v>8.6460979298883037E-2</v>
      </c>
      <c r="DW12" s="123">
        <f>DR12/DS12</f>
        <v>4.1815625764037927</v>
      </c>
      <c r="DX12" s="125">
        <f>ABS((DU15-DU7)/DU7)</f>
        <v>1.9250194006718651E-3</v>
      </c>
      <c r="DY12" s="123"/>
      <c r="DZ12" s="123">
        <f>DZ11</f>
        <v>1.5E-3</v>
      </c>
      <c r="EA12" s="123" t="s">
        <v>213</v>
      </c>
      <c r="EB12" s="98"/>
      <c r="EC12" s="4" t="s">
        <v>3</v>
      </c>
      <c r="ED12" s="100">
        <v>346728</v>
      </c>
      <c r="EE12" s="5">
        <v>81970.5</v>
      </c>
      <c r="EF12" s="5">
        <v>32328.2</v>
      </c>
      <c r="EG12" s="110">
        <f>SUM(ED12:EF12)</f>
        <v>461026.7</v>
      </c>
      <c r="EH12" s="123">
        <f>EF12/(ED12+EE12)</f>
        <v>7.5410107569772233E-2</v>
      </c>
      <c r="EI12" s="123">
        <f>ED12/EE12</f>
        <v>4.2299119805295806</v>
      </c>
      <c r="EJ12" s="125">
        <f>ABS((EG15-EG7)/EG7)</f>
        <v>3.7371747756616831E-3</v>
      </c>
      <c r="EK12" s="123"/>
      <c r="EL12" s="123">
        <f>EL11</f>
        <v>1.5E-3</v>
      </c>
      <c r="EM12" s="123" t="s">
        <v>213</v>
      </c>
      <c r="EN12" s="98"/>
      <c r="EO12" s="4" t="s">
        <v>3</v>
      </c>
      <c r="EP12" s="100">
        <v>136117</v>
      </c>
      <c r="EQ12" s="5">
        <v>61717.4</v>
      </c>
      <c r="ER12" s="5">
        <v>19508</v>
      </c>
      <c r="ES12" s="110">
        <f>SUM(EP12:ER12)</f>
        <v>217342.4</v>
      </c>
      <c r="ET12" s="123">
        <f>ER12/(EP12+EQ12)</f>
        <v>9.8607724440238909E-2</v>
      </c>
      <c r="EU12" s="123">
        <f>EP12/EQ12</f>
        <v>2.2054882415655874</v>
      </c>
      <c r="EV12" s="125">
        <f>ABS((ES15-ES7)/ES7)</f>
        <v>2.0942526881295811E-3</v>
      </c>
      <c r="EW12" s="123"/>
      <c r="EX12" s="123">
        <f>EX11</f>
        <v>5.0000000000000001E-3</v>
      </c>
      <c r="EY12" s="123" t="s">
        <v>213</v>
      </c>
      <c r="EZ12" s="98"/>
      <c r="FA12" s="4" t="s">
        <v>3</v>
      </c>
      <c r="FB12" s="100">
        <v>3143.66</v>
      </c>
      <c r="FC12" s="5">
        <v>31660.3</v>
      </c>
      <c r="FD12" s="5">
        <v>13552.5</v>
      </c>
      <c r="FE12" s="110">
        <f>SUM(FB12:FD12)</f>
        <v>48356.46</v>
      </c>
      <c r="FF12" s="123">
        <f>FD12/(FB12+FC12)</f>
        <v>0.38939534466767578</v>
      </c>
      <c r="FG12" s="123">
        <f>FB12/FC12</f>
        <v>9.929343689099597E-2</v>
      </c>
      <c r="FH12" s="125">
        <f>ABS((FE15-FE7)/FE7)</f>
        <v>5.0574315870623512E-3</v>
      </c>
      <c r="FI12" s="123"/>
      <c r="FJ12" s="123">
        <f>0.307*FK9</f>
        <v>3.0699999999999998E-4</v>
      </c>
      <c r="FK12" s="123" t="s">
        <v>213</v>
      </c>
      <c r="FL12" s="98"/>
    </row>
    <row r="13" spans="1:168" ht="15.75" thickTop="1">
      <c r="A13" s="51"/>
      <c r="B13" s="181" t="s">
        <v>8</v>
      </c>
      <c r="C13" s="181" t="s">
        <v>9</v>
      </c>
      <c r="D13" s="181" t="s">
        <v>10</v>
      </c>
      <c r="E13" s="182" t="s">
        <v>11</v>
      </c>
      <c r="F13" s="103" t="s">
        <v>16</v>
      </c>
      <c r="G13" s="103" t="s">
        <v>172</v>
      </c>
      <c r="H13" s="124" t="s">
        <v>171</v>
      </c>
      <c r="J13" s="123">
        <v>0.1</v>
      </c>
      <c r="K13" s="103" t="s">
        <v>212</v>
      </c>
      <c r="L13" s="123" t="s">
        <v>240</v>
      </c>
      <c r="S13" s="1"/>
      <c r="T13" s="2" t="s">
        <v>8</v>
      </c>
      <c r="U13" s="2" t="s">
        <v>9</v>
      </c>
      <c r="V13" s="2" t="s">
        <v>10</v>
      </c>
      <c r="W13" s="3" t="s">
        <v>11</v>
      </c>
      <c r="X13" s="103" t="s">
        <v>16</v>
      </c>
      <c r="Y13" s="103" t="s">
        <v>172</v>
      </c>
      <c r="Z13" s="124" t="s">
        <v>171</v>
      </c>
      <c r="AB13" s="123">
        <v>0.05</v>
      </c>
      <c r="AC13" s="103" t="s">
        <v>212</v>
      </c>
      <c r="AD13" s="123" t="s">
        <v>240</v>
      </c>
      <c r="AJ13" s="51"/>
      <c r="AK13" s="181" t="s">
        <v>8</v>
      </c>
      <c r="AL13" s="181" t="s">
        <v>9</v>
      </c>
      <c r="AM13" s="181" t="s">
        <v>10</v>
      </c>
      <c r="AN13" s="182" t="s">
        <v>11</v>
      </c>
      <c r="AO13" s="103" t="s">
        <v>16</v>
      </c>
      <c r="AP13" s="103" t="s">
        <v>172</v>
      </c>
      <c r="AQ13" s="124" t="s">
        <v>171</v>
      </c>
      <c r="AT13" s="123">
        <v>0.03</v>
      </c>
      <c r="AU13" s="103" t="s">
        <v>212</v>
      </c>
      <c r="AV13" s="123" t="s">
        <v>240</v>
      </c>
      <c r="BG13" s="1"/>
      <c r="BH13" s="2" t="s">
        <v>8</v>
      </c>
      <c r="BI13" s="2" t="s">
        <v>9</v>
      </c>
      <c r="BJ13" s="2" t="s">
        <v>10</v>
      </c>
      <c r="BK13" s="3" t="s">
        <v>11</v>
      </c>
      <c r="BL13" s="103" t="s">
        <v>16</v>
      </c>
      <c r="BM13" s="103" t="s">
        <v>172</v>
      </c>
      <c r="BN13" s="124" t="s">
        <v>171</v>
      </c>
      <c r="BO13" s="123"/>
      <c r="BP13" s="123"/>
      <c r="BQ13" s="123">
        <v>1.4999999999999999E-2</v>
      </c>
      <c r="BR13" s="103" t="s">
        <v>212</v>
      </c>
      <c r="BS13" s="123" t="s">
        <v>240</v>
      </c>
      <c r="BT13" s="123"/>
      <c r="BU13" s="123"/>
      <c r="BV13" s="123"/>
      <c r="BW13" s="123"/>
      <c r="BX13" s="123"/>
      <c r="BY13" s="123"/>
      <c r="BZ13" s="123"/>
      <c r="CA13" s="123"/>
      <c r="CB13" s="98"/>
      <c r="CC13" s="1"/>
      <c r="CD13" s="2" t="s">
        <v>8</v>
      </c>
      <c r="CE13" s="2" t="s">
        <v>9</v>
      </c>
      <c r="CF13" s="2" t="s">
        <v>10</v>
      </c>
      <c r="CG13" s="3" t="s">
        <v>11</v>
      </c>
      <c r="CH13" s="103" t="s">
        <v>16</v>
      </c>
      <c r="CI13" s="103" t="s">
        <v>172</v>
      </c>
      <c r="CJ13" s="124" t="s">
        <v>171</v>
      </c>
      <c r="CM13" s="123">
        <v>7.0000000000000001E-3</v>
      </c>
      <c r="CN13" s="103" t="s">
        <v>212</v>
      </c>
      <c r="CO13" s="123" t="s">
        <v>240</v>
      </c>
      <c r="CS13" s="4" t="s">
        <v>4</v>
      </c>
      <c r="CT13" s="5">
        <v>3.02485E-5</v>
      </c>
      <c r="CU13" s="5">
        <v>8539.85</v>
      </c>
      <c r="CV13" s="5">
        <v>3359.15</v>
      </c>
      <c r="CW13" s="112">
        <f t="shared" ref="CW13:CW14" si="35">SUM(CT13:CV13)</f>
        <v>11899.0000302485</v>
      </c>
      <c r="CX13" s="123">
        <f t="shared" ref="CX13:CX15" si="36">CV13/(CT13+CU13)</f>
        <v>0.3933499988994833</v>
      </c>
      <c r="CY13" s="123">
        <f t="shared" ref="CY13:CY15" si="37">CT13/CU13</f>
        <v>3.5420411365539205E-9</v>
      </c>
      <c r="CZ13" s="123"/>
      <c r="DA13" s="123"/>
      <c r="DB13" s="123">
        <f t="shared" ref="DB13" si="38">DB12</f>
        <v>9.9999999999999994E-12</v>
      </c>
      <c r="DC13" s="123" t="s">
        <v>214</v>
      </c>
      <c r="DD13" s="98"/>
      <c r="DE13" s="4" t="s">
        <v>4</v>
      </c>
      <c r="DF13" s="5">
        <v>113642</v>
      </c>
      <c r="DG13" s="5">
        <v>8763.3700000000008</v>
      </c>
      <c r="DH13" s="5">
        <v>3655.8</v>
      </c>
      <c r="DI13" s="112">
        <f t="shared" ref="DI13:DI14" si="39">SUM(DF13:DH13)</f>
        <v>126061.17</v>
      </c>
      <c r="DJ13" s="123">
        <f t="shared" ref="DJ13:DJ15" si="40">DH13/(DF13+DG13)</f>
        <v>2.9866336746500584E-2</v>
      </c>
      <c r="DK13" s="123">
        <f t="shared" ref="DK13:DK15" si="41">DF13/DG13</f>
        <v>12.967842279853526</v>
      </c>
      <c r="DL13" s="123"/>
      <c r="DM13" s="123"/>
      <c r="DN13" s="123">
        <f t="shared" ref="DN13" si="42">DN12</f>
        <v>0.04</v>
      </c>
      <c r="DO13" s="123" t="s">
        <v>214</v>
      </c>
      <c r="DP13" s="98"/>
      <c r="DQ13" s="4" t="s">
        <v>4</v>
      </c>
      <c r="DR13" s="5">
        <v>58737.5</v>
      </c>
      <c r="DS13" s="5">
        <v>14523.8</v>
      </c>
      <c r="DT13" s="5">
        <v>6334.25</v>
      </c>
      <c r="DU13" s="257">
        <f t="shared" ref="DU13:DU14" si="43">SUM(DR13:DT13)</f>
        <v>79595.55</v>
      </c>
      <c r="DV13" s="123">
        <f t="shared" ref="DV13:DV15" si="44">DT13/(DR13+DS13)</f>
        <v>8.646106470947143E-2</v>
      </c>
      <c r="DW13" s="123">
        <f t="shared" ref="DW13:DW15" si="45">DR13/DS13</f>
        <v>4.0442239634255497</v>
      </c>
      <c r="DX13" s="123"/>
      <c r="DY13" s="123"/>
      <c r="DZ13" s="123">
        <f t="shared" ref="DZ13" si="46">DZ12</f>
        <v>1.5E-3</v>
      </c>
      <c r="EA13" s="123" t="s">
        <v>214</v>
      </c>
      <c r="EB13" s="98"/>
      <c r="EC13" s="4" t="s">
        <v>4</v>
      </c>
      <c r="ED13" s="5">
        <v>81561.3</v>
      </c>
      <c r="EE13" s="5">
        <v>18315.900000000001</v>
      </c>
      <c r="EF13" s="5">
        <v>7531.75</v>
      </c>
      <c r="EG13" s="112">
        <f t="shared" ref="EG13:EG14" si="47">SUM(ED13:EF13)</f>
        <v>107408.95000000001</v>
      </c>
      <c r="EH13" s="123">
        <f t="shared" ref="EH13:EH15" si="48">EF13/(ED13+EE13)</f>
        <v>7.5410103607229675E-2</v>
      </c>
      <c r="EI13" s="123">
        <f t="shared" ref="EI13:EI15" si="49">ED13/EE13</f>
        <v>4.4530326110101059</v>
      </c>
      <c r="EJ13" s="123"/>
      <c r="EK13" s="123"/>
      <c r="EL13" s="123">
        <f t="shared" ref="EL13" si="50">EL12</f>
        <v>1.5E-3</v>
      </c>
      <c r="EM13" s="123" t="s">
        <v>214</v>
      </c>
      <c r="EN13" s="98"/>
      <c r="EO13" s="4" t="s">
        <v>4</v>
      </c>
      <c r="EP13" s="5">
        <v>61930.2</v>
      </c>
      <c r="EQ13" s="5">
        <v>27824</v>
      </c>
      <c r="ER13" s="5">
        <v>8850.4699999999993</v>
      </c>
      <c r="ES13" s="112">
        <f t="shared" ref="ES13:ES14" si="51">SUM(EP13:ER13)</f>
        <v>98604.67</v>
      </c>
      <c r="ET13" s="123">
        <f t="shared" ref="ET13:ET15" si="52">ER13/(EP13+EQ13)</f>
        <v>9.8607864590180727E-2</v>
      </c>
      <c r="EU13" s="123">
        <f t="shared" ref="EU13:EU15" si="53">EP13/EQ13</f>
        <v>2.2257834962622196</v>
      </c>
      <c r="EV13" s="123"/>
      <c r="EW13" s="123"/>
      <c r="EX13" s="123">
        <f t="shared" ref="EX13" si="54">EX12</f>
        <v>5.0000000000000001E-3</v>
      </c>
      <c r="EY13" s="123" t="s">
        <v>214</v>
      </c>
      <c r="EZ13" s="98"/>
      <c r="FA13" s="4" t="s">
        <v>4</v>
      </c>
      <c r="FB13" s="5">
        <v>32957.1</v>
      </c>
      <c r="FC13" s="5">
        <v>140138</v>
      </c>
      <c r="FD13" s="5">
        <v>67402.600000000006</v>
      </c>
      <c r="FE13" s="112">
        <f t="shared" ref="FE13:FE14" si="55">SUM(FB13:FD13)</f>
        <v>240497.7</v>
      </c>
      <c r="FF13" s="123">
        <f t="shared" ref="FF13:FF15" si="56">FD13/(FB13+FC13)</f>
        <v>0.38939634917452892</v>
      </c>
      <c r="FG13" s="123">
        <f t="shared" ref="FG13:FG15" si="57">FB13/FC13</f>
        <v>0.23517604075982246</v>
      </c>
      <c r="FH13" s="123"/>
      <c r="FI13" s="123"/>
      <c r="FJ13" s="123">
        <f>0.23*FK9</f>
        <v>2.3000000000000001E-4</v>
      </c>
      <c r="FK13" s="123" t="s">
        <v>214</v>
      </c>
      <c r="FL13" s="98"/>
    </row>
    <row r="14" spans="1:168">
      <c r="A14" s="54" t="s">
        <v>3</v>
      </c>
      <c r="B14" s="188">
        <v>548.18499999999995</v>
      </c>
      <c r="C14" s="55">
        <v>1214.93</v>
      </c>
      <c r="D14" s="55">
        <v>240.71199999999999</v>
      </c>
      <c r="E14" s="202">
        <f>SUM(B14:D14)</f>
        <v>2003.827</v>
      </c>
      <c r="F14" s="123">
        <f>D14/(B14+C14)</f>
        <v>0.13652654534729725</v>
      </c>
      <c r="G14" s="123">
        <f>B14/C14</f>
        <v>0.45120706542763772</v>
      </c>
      <c r="H14" s="125">
        <f>ABS((E17-E9)/E9)</f>
        <v>7.1995306113928747E-3</v>
      </c>
      <c r="J14" s="123">
        <f>J13</f>
        <v>0.1</v>
      </c>
      <c r="K14" s="123" t="s">
        <v>213</v>
      </c>
      <c r="L14" s="123" t="s">
        <v>241</v>
      </c>
      <c r="S14" s="4" t="s">
        <v>3</v>
      </c>
      <c r="T14" s="100">
        <v>740.98500000000001</v>
      </c>
      <c r="U14" s="5">
        <v>1258.58</v>
      </c>
      <c r="V14" s="5">
        <v>461.50200000000001</v>
      </c>
      <c r="W14" s="110">
        <f>SUM(T14:V14)</f>
        <v>2461.067</v>
      </c>
      <c r="X14" s="123">
        <f>V14/(T14+U14)</f>
        <v>0.23080119926083922</v>
      </c>
      <c r="Y14" s="123">
        <f>T14/U14</f>
        <v>0.58874684167871738</v>
      </c>
      <c r="Z14" s="125">
        <f>ABS((W17-W9)/W9)</f>
        <v>5.3463375131078059E-3</v>
      </c>
      <c r="AB14" s="123">
        <f>AB13</f>
        <v>0.05</v>
      </c>
      <c r="AC14" s="123" t="s">
        <v>213</v>
      </c>
      <c r="AD14" s="123" t="s">
        <v>241</v>
      </c>
      <c r="AJ14" s="54" t="s">
        <v>3</v>
      </c>
      <c r="AK14" s="188">
        <v>1306.42</v>
      </c>
      <c r="AL14" s="55">
        <v>2596.8000000000002</v>
      </c>
      <c r="AM14" s="55">
        <v>420.06400000000002</v>
      </c>
      <c r="AN14" s="202">
        <f>SUM(AK14:AM14)</f>
        <v>4323.2840000000006</v>
      </c>
      <c r="AO14" s="123">
        <f>AM14/(AK14+AL14)</f>
        <v>0.10761986257500218</v>
      </c>
      <c r="AP14" s="123">
        <f>AK14/AL14</f>
        <v>0.50308841651263092</v>
      </c>
      <c r="AQ14" s="125">
        <f>ABS((AN17-AN9)/AN9)</f>
        <v>4.8823940478887366E-4</v>
      </c>
      <c r="AT14" s="123">
        <f>AT13</f>
        <v>0.03</v>
      </c>
      <c r="AU14" s="123" t="s">
        <v>213</v>
      </c>
      <c r="AV14" s="123" t="s">
        <v>241</v>
      </c>
      <c r="BG14" s="4" t="s">
        <v>3</v>
      </c>
      <c r="BH14" s="100">
        <v>267.71199999999999</v>
      </c>
      <c r="BI14" s="5">
        <v>535.84799999999996</v>
      </c>
      <c r="BJ14" s="5">
        <v>390.71</v>
      </c>
      <c r="BK14" s="110">
        <f>SUM(BH14:BJ14)</f>
        <v>1194.27</v>
      </c>
      <c r="BL14" s="123">
        <f>BJ14/(BH14+BI14)</f>
        <v>0.48622380407188015</v>
      </c>
      <c r="BM14" s="123">
        <f>BH14/BI14</f>
        <v>0.4996043654170586</v>
      </c>
      <c r="BN14" s="125">
        <f>ABS((BK17-BK9)/BK9)</f>
        <v>1.2928467894564092E-6</v>
      </c>
      <c r="BO14" s="123"/>
      <c r="BP14" s="123"/>
      <c r="BQ14" s="123">
        <f>BQ13</f>
        <v>1.4999999999999999E-2</v>
      </c>
      <c r="BR14" s="123" t="s">
        <v>213</v>
      </c>
      <c r="BS14" s="123" t="s">
        <v>241</v>
      </c>
      <c r="BT14" s="123"/>
      <c r="BU14" s="123"/>
      <c r="BV14" s="123"/>
      <c r="BW14" s="123"/>
      <c r="BX14" s="123"/>
      <c r="BY14" s="123"/>
      <c r="BZ14" s="123"/>
      <c r="CA14" s="123"/>
      <c r="CB14" s="98"/>
      <c r="CC14" s="4" t="s">
        <v>3</v>
      </c>
      <c r="CD14" s="100">
        <v>136.38999999999999</v>
      </c>
      <c r="CE14" s="5">
        <v>270.71300000000002</v>
      </c>
      <c r="CF14" s="5">
        <v>371.721</v>
      </c>
      <c r="CG14" s="110">
        <f>SUM(CD14:CF14)</f>
        <v>778.82400000000007</v>
      </c>
      <c r="CH14" s="123">
        <f>CF14/(CD14+CE14)</f>
        <v>0.91308833391058286</v>
      </c>
      <c r="CI14" s="123">
        <f>CD14/CE14</f>
        <v>0.50381769623180261</v>
      </c>
      <c r="CJ14" s="125">
        <f>ABS((CG17-CG9)/CG9)</f>
        <v>1.8110546111566154E-3</v>
      </c>
      <c r="CM14" s="123">
        <f>CM13</f>
        <v>7.0000000000000001E-3</v>
      </c>
      <c r="CN14" s="123" t="s">
        <v>213</v>
      </c>
      <c r="CO14" s="123" t="s">
        <v>241</v>
      </c>
      <c r="CS14" s="4" t="s">
        <v>5</v>
      </c>
      <c r="CT14" s="5">
        <v>1.19618E-5</v>
      </c>
      <c r="CU14" s="5">
        <v>3359.15</v>
      </c>
      <c r="CV14" s="5">
        <v>1321.32</v>
      </c>
      <c r="CW14" s="108">
        <f t="shared" si="35"/>
        <v>4680.4700119618001</v>
      </c>
      <c r="CX14" s="123">
        <f t="shared" si="36"/>
        <v>0.39334950665937268</v>
      </c>
      <c r="CY14" s="123">
        <f t="shared" si="37"/>
        <v>3.560960361996338E-9</v>
      </c>
      <c r="CZ14" s="123"/>
      <c r="DA14" s="123" t="s">
        <v>397</v>
      </c>
      <c r="DB14" s="123"/>
      <c r="DC14" s="103" t="s">
        <v>215</v>
      </c>
      <c r="DD14" s="98"/>
      <c r="DE14" s="4" t="s">
        <v>5</v>
      </c>
      <c r="DF14" s="5">
        <v>46383</v>
      </c>
      <c r="DG14" s="5">
        <v>3311</v>
      </c>
      <c r="DH14" s="5">
        <v>1484.18</v>
      </c>
      <c r="DI14" s="108">
        <f t="shared" si="39"/>
        <v>51178.18</v>
      </c>
      <c r="DJ14" s="123">
        <f t="shared" si="40"/>
        <v>2.9866382259427698E-2</v>
      </c>
      <c r="DK14" s="123">
        <f t="shared" si="41"/>
        <v>14.008758683177287</v>
      </c>
      <c r="DL14" s="123"/>
      <c r="DM14" s="123" t="s">
        <v>397</v>
      </c>
      <c r="DN14" s="123"/>
      <c r="DO14" s="103" t="s">
        <v>215</v>
      </c>
      <c r="DP14" s="98"/>
      <c r="DQ14" s="4" t="s">
        <v>5</v>
      </c>
      <c r="DR14" s="5">
        <v>26546.5</v>
      </c>
      <c r="DS14" s="5">
        <v>6174.11</v>
      </c>
      <c r="DT14" s="5">
        <v>2829.06</v>
      </c>
      <c r="DU14" s="258">
        <f t="shared" si="43"/>
        <v>35549.67</v>
      </c>
      <c r="DV14" s="123">
        <f t="shared" si="44"/>
        <v>8.6461102039356849E-2</v>
      </c>
      <c r="DW14" s="123">
        <f t="shared" si="45"/>
        <v>4.2996480464390823</v>
      </c>
      <c r="DX14" s="123"/>
      <c r="DY14" s="123" t="s">
        <v>397</v>
      </c>
      <c r="DZ14" s="123"/>
      <c r="EA14" s="103" t="s">
        <v>215</v>
      </c>
      <c r="EB14" s="98"/>
      <c r="EC14" s="4" t="s">
        <v>5</v>
      </c>
      <c r="ED14" s="5">
        <v>32737.4</v>
      </c>
      <c r="EE14" s="5">
        <v>7122.53</v>
      </c>
      <c r="EF14" s="5">
        <v>3005.84</v>
      </c>
      <c r="EG14" s="108">
        <f t="shared" si="47"/>
        <v>42865.770000000004</v>
      </c>
      <c r="EH14" s="123">
        <f t="shared" si="48"/>
        <v>7.5410067202827502E-2</v>
      </c>
      <c r="EI14" s="123">
        <f t="shared" si="49"/>
        <v>4.5963161966323769</v>
      </c>
      <c r="EJ14" s="123"/>
      <c r="EK14" s="123" t="s">
        <v>397</v>
      </c>
      <c r="EL14" s="123"/>
      <c r="EM14" s="103" t="s">
        <v>215</v>
      </c>
      <c r="EN14" s="98"/>
      <c r="EO14" s="4" t="s">
        <v>5</v>
      </c>
      <c r="EP14" s="5">
        <v>19295.3</v>
      </c>
      <c r="EQ14" s="5">
        <v>9063.2000000000007</v>
      </c>
      <c r="ER14" s="5">
        <v>2796.37</v>
      </c>
      <c r="ES14" s="108">
        <f t="shared" si="51"/>
        <v>31154.87</v>
      </c>
      <c r="ET14" s="123">
        <f t="shared" si="52"/>
        <v>9.8607824814429534E-2</v>
      </c>
      <c r="EU14" s="123">
        <f t="shared" si="53"/>
        <v>2.1289721069820811</v>
      </c>
      <c r="EV14" s="123"/>
      <c r="EW14" s="123" t="s">
        <v>397</v>
      </c>
      <c r="EX14" s="123"/>
      <c r="EY14" s="103" t="s">
        <v>215</v>
      </c>
      <c r="EZ14" s="98"/>
      <c r="FA14" s="4" t="s">
        <v>5</v>
      </c>
      <c r="FB14" s="5">
        <v>12255.7</v>
      </c>
      <c r="FC14" s="5">
        <v>68699.399999999994</v>
      </c>
      <c r="FD14" s="5">
        <v>31523.599999999999</v>
      </c>
      <c r="FE14" s="108">
        <f t="shared" si="55"/>
        <v>112478.69999999998</v>
      </c>
      <c r="FF14" s="123">
        <f t="shared" si="56"/>
        <v>0.38939609734284808</v>
      </c>
      <c r="FG14" s="123">
        <f t="shared" si="57"/>
        <v>0.17839602674841412</v>
      </c>
      <c r="FH14" s="123"/>
      <c r="FI14" s="123" t="s">
        <v>397</v>
      </c>
      <c r="FJ14" s="123"/>
      <c r="FK14" s="103" t="s">
        <v>215</v>
      </c>
      <c r="FL14" s="98"/>
    </row>
    <row r="15" spans="1:168" ht="15.75" thickBot="1">
      <c r="A15" s="54" t="s">
        <v>4</v>
      </c>
      <c r="B15" s="55">
        <v>1186.56</v>
      </c>
      <c r="C15" s="55">
        <v>2014.97</v>
      </c>
      <c r="D15" s="55">
        <v>437.09300000000002</v>
      </c>
      <c r="E15" s="203">
        <f t="shared" ref="E15:E16" si="58">SUM(B15:D15)</f>
        <v>3638.6229999999996</v>
      </c>
      <c r="F15" s="123">
        <f t="shared" ref="F15:F17" si="59">D15/(B15+C15)</f>
        <v>0.13652628586956864</v>
      </c>
      <c r="G15" s="123">
        <f t="shared" ref="G15:G17" si="60">B15/C15</f>
        <v>0.58887229090259408</v>
      </c>
      <c r="J15" s="123">
        <f t="shared" ref="J15:J18" si="61">J14</f>
        <v>0.1</v>
      </c>
      <c r="K15" s="123" t="s">
        <v>214</v>
      </c>
      <c r="L15" s="123" t="s">
        <v>242</v>
      </c>
      <c r="S15" s="4" t="s">
        <v>4</v>
      </c>
      <c r="T15" s="5">
        <v>1236.55</v>
      </c>
      <c r="U15" s="5">
        <v>2108.65</v>
      </c>
      <c r="V15" s="5">
        <v>772.07600000000002</v>
      </c>
      <c r="W15" s="112">
        <f t="shared" ref="W15:W16" si="62">SUM(T15:V15)</f>
        <v>4117.2759999999998</v>
      </c>
      <c r="X15" s="123">
        <f t="shared" ref="X15:X17" si="63">V15/(T15+U15)</f>
        <v>0.23080114791342821</v>
      </c>
      <c r="Y15" s="123">
        <f t="shared" ref="Y15:Y17" si="64">T15/U15</f>
        <v>0.58641785028335658</v>
      </c>
      <c r="AB15" s="123">
        <f t="shared" ref="AB15:AB18" si="65">AB14</f>
        <v>0.05</v>
      </c>
      <c r="AC15" s="123" t="s">
        <v>214</v>
      </c>
      <c r="AD15" s="123" t="s">
        <v>242</v>
      </c>
      <c r="AJ15" s="54" t="s">
        <v>4</v>
      </c>
      <c r="AK15" s="55">
        <v>2600.83</v>
      </c>
      <c r="AL15" s="55">
        <v>5153.0600000000004</v>
      </c>
      <c r="AM15" s="55">
        <v>834.47199999999998</v>
      </c>
      <c r="AN15" s="203">
        <f t="shared" ref="AN15:AN16" si="66">SUM(AK15:AM15)</f>
        <v>8588.362000000001</v>
      </c>
      <c r="AO15" s="123">
        <f t="shared" ref="AO15:AO17" si="67">AM15/(AK15+AL15)</f>
        <v>0.10761978826111795</v>
      </c>
      <c r="AP15" s="123">
        <f t="shared" ref="AP15:AP17" si="68">AK15/AL15</f>
        <v>0.5047156446849056</v>
      </c>
      <c r="AT15" s="123">
        <f t="shared" ref="AT15:AT18" si="69">AT14</f>
        <v>0.03</v>
      </c>
      <c r="AU15" s="123" t="s">
        <v>214</v>
      </c>
      <c r="AV15" s="123" t="s">
        <v>242</v>
      </c>
      <c r="BG15" s="4" t="s">
        <v>4</v>
      </c>
      <c r="BH15" s="5">
        <v>535.75599999999997</v>
      </c>
      <c r="BI15" s="5">
        <v>1111.9100000000001</v>
      </c>
      <c r="BJ15" s="5">
        <v>801.13300000000004</v>
      </c>
      <c r="BK15" s="112">
        <f t="shared" ref="BK15:BK16" si="70">SUM(BH15:BJ15)</f>
        <v>2448.799</v>
      </c>
      <c r="BL15" s="123">
        <f t="shared" ref="BL15:BL17" si="71">BJ15/(BH15+BI15)</f>
        <v>0.4862229359591082</v>
      </c>
      <c r="BM15" s="123">
        <f t="shared" ref="BM15:BM17" si="72">BH15/BI15</f>
        <v>0.48183396138176643</v>
      </c>
      <c r="BN15" s="123"/>
      <c r="BO15" s="123"/>
      <c r="BP15" s="123"/>
      <c r="BQ15" s="123">
        <f t="shared" ref="BQ15" si="73">BQ14</f>
        <v>1.4999999999999999E-2</v>
      </c>
      <c r="BR15" s="123" t="s">
        <v>214</v>
      </c>
      <c r="BS15" s="123" t="s">
        <v>242</v>
      </c>
      <c r="BT15" s="123"/>
      <c r="BU15" s="123"/>
      <c r="BV15" s="123"/>
      <c r="BW15" s="123"/>
      <c r="BX15" s="123"/>
      <c r="BY15" s="123"/>
      <c r="BZ15" s="123"/>
      <c r="CA15" s="123"/>
      <c r="CB15" s="98"/>
      <c r="CC15" s="4" t="s">
        <v>4</v>
      </c>
      <c r="CD15" s="5">
        <v>273.52999999999997</v>
      </c>
      <c r="CE15" s="5">
        <v>543.46199999999999</v>
      </c>
      <c r="CF15" s="5">
        <v>745.98599999999999</v>
      </c>
      <c r="CG15" s="112">
        <f t="shared" ref="CG15:CG16" si="74">SUM(CD15:CF15)</f>
        <v>1562.9780000000001</v>
      </c>
      <c r="CH15" s="123">
        <f t="shared" ref="CH15:CH17" si="75">CF15/(CD15+CE15)</f>
        <v>0.91308850025459254</v>
      </c>
      <c r="CI15" s="123">
        <f t="shared" ref="CI15:CI17" si="76">CD15/CE15</f>
        <v>0.50331025904295057</v>
      </c>
      <c r="CM15" s="123">
        <f t="shared" ref="CM15" si="77">CM14</f>
        <v>7.0000000000000001E-3</v>
      </c>
      <c r="CN15" s="123" t="s">
        <v>214</v>
      </c>
      <c r="CO15" s="123" t="s">
        <v>242</v>
      </c>
      <c r="CS15" s="7"/>
      <c r="CT15" s="5">
        <f>SUM(CT12:CT14)</f>
        <v>4.2210300105557E-5</v>
      </c>
      <c r="CU15" s="113">
        <f t="shared" ref="CU15:CV15" si="78">SUM(CU12:CU14)</f>
        <v>11899.000030294101</v>
      </c>
      <c r="CV15" s="109">
        <f t="shared" si="78"/>
        <v>4680.4700119161998</v>
      </c>
      <c r="CW15" s="102">
        <f>SUM(CW12:CW14)</f>
        <v>16579.470084420602</v>
      </c>
      <c r="CX15" s="123">
        <f t="shared" si="36"/>
        <v>0.39334985993752447</v>
      </c>
      <c r="CY15" s="123">
        <f t="shared" si="37"/>
        <v>3.5473821327920203E-9</v>
      </c>
      <c r="CZ15" s="123"/>
      <c r="DA15" s="123" t="s">
        <v>398</v>
      </c>
      <c r="DB15" s="123"/>
      <c r="DC15" s="103" t="s">
        <v>216</v>
      </c>
      <c r="DD15" s="98"/>
      <c r="DE15" s="7"/>
      <c r="DF15" s="111">
        <f>SUM(DF12:DF14)</f>
        <v>1587505</v>
      </c>
      <c r="DG15" s="113">
        <f t="shared" ref="DG15:DH15" si="79">SUM(DG12:DG14)</f>
        <v>126060.37</v>
      </c>
      <c r="DH15" s="109">
        <f t="shared" si="79"/>
        <v>51178.18</v>
      </c>
      <c r="DI15" s="102">
        <f>SUM(DI12:DI14)</f>
        <v>1764743.5499999998</v>
      </c>
      <c r="DJ15" s="123">
        <f t="shared" si="40"/>
        <v>2.9866488256587491E-2</v>
      </c>
      <c r="DK15" s="123">
        <f t="shared" si="41"/>
        <v>12.593212283923965</v>
      </c>
      <c r="DL15" s="123"/>
      <c r="DM15" s="123" t="s">
        <v>398</v>
      </c>
      <c r="DN15" s="123"/>
      <c r="DO15" s="103" t="s">
        <v>216</v>
      </c>
      <c r="DP15" s="98"/>
      <c r="DQ15" s="7"/>
      <c r="DR15" s="111">
        <f>SUM(DR12:DR14)</f>
        <v>331568</v>
      </c>
      <c r="DS15" s="113">
        <f t="shared" ref="DS15:DT15" si="80">SUM(DS12:DS14)</f>
        <v>79595.509999999995</v>
      </c>
      <c r="DT15" s="109">
        <f t="shared" si="80"/>
        <v>35549.61</v>
      </c>
      <c r="DU15" s="102">
        <f>SUM(DU12:DU14)</f>
        <v>446713.11999999994</v>
      </c>
      <c r="DV15" s="123">
        <f t="shared" si="44"/>
        <v>8.6461004285132204E-2</v>
      </c>
      <c r="DW15" s="123">
        <f t="shared" si="45"/>
        <v>4.1656621083274672</v>
      </c>
      <c r="DX15" s="123"/>
      <c r="DY15" s="123" t="s">
        <v>398</v>
      </c>
      <c r="DZ15" s="123"/>
      <c r="EA15" s="103" t="s">
        <v>216</v>
      </c>
      <c r="EB15" s="98"/>
      <c r="EC15" s="7"/>
      <c r="ED15" s="111">
        <f>SUM(ED12:ED14)</f>
        <v>461026.7</v>
      </c>
      <c r="EE15" s="113">
        <f t="shared" ref="EE15:EF15" si="81">SUM(EE12:EE14)</f>
        <v>107408.93</v>
      </c>
      <c r="EF15" s="109">
        <f t="shared" si="81"/>
        <v>42865.789999999994</v>
      </c>
      <c r="EG15" s="102">
        <f>SUM(EG12:EG14)</f>
        <v>611301.42000000004</v>
      </c>
      <c r="EH15" s="123">
        <f t="shared" si="48"/>
        <v>7.5410104042915108E-2</v>
      </c>
      <c r="EI15" s="123">
        <f t="shared" si="49"/>
        <v>4.2922567052851193</v>
      </c>
      <c r="EJ15" s="123"/>
      <c r="EK15" s="123" t="s">
        <v>398</v>
      </c>
      <c r="EL15" s="123"/>
      <c r="EM15" s="103" t="s">
        <v>216</v>
      </c>
      <c r="EN15" s="98"/>
      <c r="EO15" s="7"/>
      <c r="EP15" s="111">
        <f>SUM(EP12:EP14)</f>
        <v>217342.5</v>
      </c>
      <c r="EQ15" s="113">
        <f t="shared" ref="EQ15:ER15" si="82">SUM(EQ12:EQ14)</f>
        <v>98604.599999999991</v>
      </c>
      <c r="ER15" s="109">
        <f t="shared" si="82"/>
        <v>31154.84</v>
      </c>
      <c r="ES15" s="102">
        <f>SUM(ES12:ES14)</f>
        <v>347101.94</v>
      </c>
      <c r="ET15" s="123">
        <f t="shared" si="52"/>
        <v>9.8607773263308954E-2</v>
      </c>
      <c r="EU15" s="123">
        <f t="shared" si="53"/>
        <v>2.2041821578303651</v>
      </c>
      <c r="EV15" s="123"/>
      <c r="EW15" s="123" t="s">
        <v>398</v>
      </c>
      <c r="EX15" s="123"/>
      <c r="EY15" s="103" t="s">
        <v>216</v>
      </c>
      <c r="EZ15" s="98"/>
      <c r="FA15" s="7"/>
      <c r="FB15" s="111">
        <f>SUM(FB12:FB14)</f>
        <v>48356.459999999992</v>
      </c>
      <c r="FC15" s="113">
        <f t="shared" ref="FC15:FD15" si="83">SUM(FC12:FC14)</f>
        <v>240497.69999999998</v>
      </c>
      <c r="FD15" s="109">
        <f t="shared" si="83"/>
        <v>112478.70000000001</v>
      </c>
      <c r="FE15" s="102">
        <f>SUM(FE12:FE14)</f>
        <v>401332.86</v>
      </c>
      <c r="FF15" s="123">
        <f t="shared" si="56"/>
        <v>0.38939615756269536</v>
      </c>
      <c r="FG15" s="123">
        <f t="shared" si="57"/>
        <v>0.20106828464471799</v>
      </c>
      <c r="FH15" s="123"/>
      <c r="FI15" s="123" t="s">
        <v>398</v>
      </c>
      <c r="FJ15" s="123"/>
      <c r="FK15" s="103" t="s">
        <v>216</v>
      </c>
      <c r="FL15" s="98"/>
    </row>
    <row r="16" spans="1:168" ht="15.75" thickTop="1">
      <c r="A16" s="54" t="s">
        <v>5</v>
      </c>
      <c r="B16" s="55">
        <v>269.08100000000002</v>
      </c>
      <c r="C16" s="55">
        <v>408.72300000000001</v>
      </c>
      <c r="D16" s="55">
        <v>92.538200000000003</v>
      </c>
      <c r="E16" s="191">
        <f t="shared" si="58"/>
        <v>770.34220000000005</v>
      </c>
      <c r="F16" s="123">
        <f t="shared" si="59"/>
        <v>0.13652648848339638</v>
      </c>
      <c r="G16" s="123">
        <f t="shared" si="60"/>
        <v>0.65834562772342153</v>
      </c>
      <c r="J16" s="123">
        <f t="shared" si="61"/>
        <v>0.1</v>
      </c>
      <c r="K16" s="103" t="s">
        <v>215</v>
      </c>
      <c r="L16" s="123" t="s">
        <v>243</v>
      </c>
      <c r="S16" s="4" t="s">
        <v>5</v>
      </c>
      <c r="T16" s="5">
        <v>483.53199999999998</v>
      </c>
      <c r="U16" s="5">
        <v>750.04499999999996</v>
      </c>
      <c r="V16" s="5">
        <v>284.71199999999999</v>
      </c>
      <c r="W16" s="108">
        <f t="shared" si="62"/>
        <v>1518.289</v>
      </c>
      <c r="X16" s="123">
        <f t="shared" si="63"/>
        <v>0.23080196858404461</v>
      </c>
      <c r="Y16" s="123">
        <f t="shared" si="64"/>
        <v>0.64467065309414773</v>
      </c>
      <c r="AB16" s="123">
        <f t="shared" si="65"/>
        <v>0.05</v>
      </c>
      <c r="AC16" s="103" t="s">
        <v>215</v>
      </c>
      <c r="AD16" s="123" t="s">
        <v>243</v>
      </c>
      <c r="AJ16" s="54" t="s">
        <v>5</v>
      </c>
      <c r="AK16" s="55">
        <v>416.03800000000001</v>
      </c>
      <c r="AL16" s="55">
        <v>838.49900000000002</v>
      </c>
      <c r="AM16" s="55">
        <v>135.01300000000001</v>
      </c>
      <c r="AN16" s="191">
        <f t="shared" si="66"/>
        <v>1389.55</v>
      </c>
      <c r="AO16" s="123">
        <f t="shared" si="67"/>
        <v>0.10761978323477107</v>
      </c>
      <c r="AP16" s="123">
        <f t="shared" si="68"/>
        <v>0.49616994176498719</v>
      </c>
      <c r="AT16" s="123">
        <f t="shared" si="69"/>
        <v>0.03</v>
      </c>
      <c r="AU16" s="103" t="s">
        <v>215</v>
      </c>
      <c r="AV16" s="123" t="s">
        <v>243</v>
      </c>
      <c r="BG16" s="4" t="s">
        <v>5</v>
      </c>
      <c r="BH16" s="5">
        <v>390.80200000000002</v>
      </c>
      <c r="BI16" s="5">
        <v>801.04100000000005</v>
      </c>
      <c r="BJ16" s="5">
        <v>579.50300000000004</v>
      </c>
      <c r="BK16" s="108">
        <f t="shared" si="70"/>
        <v>1771.346</v>
      </c>
      <c r="BL16" s="123">
        <f t="shared" si="71"/>
        <v>0.48622427618402758</v>
      </c>
      <c r="BM16" s="123">
        <f t="shared" si="72"/>
        <v>0.4878676622045563</v>
      </c>
      <c r="BN16" s="123"/>
      <c r="BO16" s="123"/>
      <c r="BP16" s="123"/>
      <c r="BQ16" s="123">
        <f t="shared" ref="BQ16" si="84">BQ15</f>
        <v>1.4999999999999999E-2</v>
      </c>
      <c r="BR16" s="103" t="s">
        <v>215</v>
      </c>
      <c r="BS16" s="123" t="s">
        <v>243</v>
      </c>
      <c r="BT16" s="123"/>
      <c r="BU16" s="123"/>
      <c r="BV16" s="123"/>
      <c r="BW16" s="123"/>
      <c r="BX16" s="123"/>
      <c r="BY16" s="123"/>
      <c r="BZ16" s="123"/>
      <c r="CA16" s="123"/>
      <c r="CB16" s="98"/>
      <c r="CC16" s="4" t="s">
        <v>5</v>
      </c>
      <c r="CD16" s="5">
        <v>368.904</v>
      </c>
      <c r="CE16" s="5">
        <v>748.803</v>
      </c>
      <c r="CF16" s="5">
        <v>1020.57</v>
      </c>
      <c r="CG16" s="108">
        <f t="shared" si="74"/>
        <v>2138.277</v>
      </c>
      <c r="CH16" s="123">
        <f t="shared" si="75"/>
        <v>0.91309260834905759</v>
      </c>
      <c r="CI16" s="123">
        <f t="shared" si="76"/>
        <v>0.49265828261906003</v>
      </c>
      <c r="CM16" s="123">
        <f t="shared" ref="CM16" si="85">CM15</f>
        <v>7.0000000000000001E-3</v>
      </c>
      <c r="CN16" s="103" t="s">
        <v>215</v>
      </c>
      <c r="CO16" s="123" t="s">
        <v>243</v>
      </c>
      <c r="CS16" s="130"/>
      <c r="CT16" s="123"/>
      <c r="CU16" s="123"/>
      <c r="CV16" s="123"/>
      <c r="CW16" s="123"/>
      <c r="CX16" s="124" t="s">
        <v>420</v>
      </c>
      <c r="CY16" s="103">
        <f>AVERAGE(CY12:CY14)</f>
        <v>3.5291364511817083E-9</v>
      </c>
      <c r="CZ16" s="123"/>
      <c r="DA16" s="123" t="s">
        <v>399</v>
      </c>
      <c r="DB16" s="123"/>
      <c r="DC16" s="103" t="s">
        <v>217</v>
      </c>
      <c r="DD16" s="98"/>
      <c r="DE16" s="130"/>
      <c r="DF16" s="123"/>
      <c r="DG16" s="123"/>
      <c r="DH16" s="123"/>
      <c r="DI16" s="123"/>
      <c r="DJ16" s="124" t="s">
        <v>420</v>
      </c>
      <c r="DK16" s="103">
        <f>AVERAGE(DK12:DK14)</f>
        <v>13.166631099059037</v>
      </c>
      <c r="DL16" s="123"/>
      <c r="DM16" s="123" t="s">
        <v>399</v>
      </c>
      <c r="DN16" s="123"/>
      <c r="DO16" s="103" t="s">
        <v>217</v>
      </c>
      <c r="DP16" s="98"/>
      <c r="DQ16" s="130"/>
      <c r="DR16" s="123"/>
      <c r="DS16" s="123"/>
      <c r="DT16" s="123"/>
      <c r="DU16" s="123"/>
      <c r="DV16" s="124" t="s">
        <v>420</v>
      </c>
      <c r="DW16" s="103">
        <f>AVERAGE(DW12:DW14)</f>
        <v>4.1751448620894749</v>
      </c>
      <c r="DX16" s="123"/>
      <c r="DY16" s="123" t="s">
        <v>399</v>
      </c>
      <c r="DZ16" s="123"/>
      <c r="EA16" s="103" t="s">
        <v>217</v>
      </c>
      <c r="EB16" s="98"/>
      <c r="EC16" s="130"/>
      <c r="ED16" s="123"/>
      <c r="EE16" s="123"/>
      <c r="EF16" s="123"/>
      <c r="EG16" s="123"/>
      <c r="EH16" s="124" t="s">
        <v>420</v>
      </c>
      <c r="EI16" s="103">
        <f>AVERAGE(EI12:EI14)</f>
        <v>4.4264202627240214</v>
      </c>
      <c r="EJ16" s="123"/>
      <c r="EK16" s="123" t="s">
        <v>399</v>
      </c>
      <c r="EL16" s="123"/>
      <c r="EM16" s="103" t="s">
        <v>217</v>
      </c>
      <c r="EN16" s="98"/>
      <c r="EO16" s="130"/>
      <c r="EP16" s="123"/>
      <c r="EQ16" s="123"/>
      <c r="ER16" s="123"/>
      <c r="ES16" s="123"/>
      <c r="ET16" s="124" t="s">
        <v>420</v>
      </c>
      <c r="EU16" s="103">
        <f>AVERAGE(EU12:EU14)</f>
        <v>2.1867479482699625</v>
      </c>
      <c r="EV16" s="123"/>
      <c r="EW16" s="123" t="s">
        <v>399</v>
      </c>
      <c r="EX16" s="123"/>
      <c r="EY16" s="103" t="s">
        <v>217</v>
      </c>
      <c r="EZ16" s="98"/>
      <c r="FA16" s="130"/>
      <c r="FB16" s="123"/>
      <c r="FC16" s="123"/>
      <c r="FD16" s="123"/>
      <c r="FE16" s="123"/>
      <c r="FF16" s="124" t="s">
        <v>420</v>
      </c>
      <c r="FG16" s="103">
        <f>AVERAGE(FG12:FG14)</f>
        <v>0.17095516813307751</v>
      </c>
      <c r="FH16" s="123"/>
      <c r="FI16" s="123" t="s">
        <v>399</v>
      </c>
      <c r="FJ16" s="123"/>
      <c r="FK16" s="103" t="s">
        <v>217</v>
      </c>
      <c r="FL16" s="98"/>
    </row>
    <row r="17" spans="1:168" ht="15.75" thickBot="1">
      <c r="A17" s="57"/>
      <c r="B17" s="204">
        <f>SUM(B14:B16)</f>
        <v>2003.826</v>
      </c>
      <c r="C17" s="205">
        <f t="shared" ref="C17:D17" si="86">SUM(C14:C16)</f>
        <v>3638.623</v>
      </c>
      <c r="D17" s="206">
        <f t="shared" si="86"/>
        <v>770.34320000000002</v>
      </c>
      <c r="E17" s="207">
        <f>SUM(E14:E16)</f>
        <v>6412.7921999999999</v>
      </c>
      <c r="F17" s="123">
        <f t="shared" si="59"/>
        <v>0.13652639128860536</v>
      </c>
      <c r="G17" s="123">
        <f t="shared" si="60"/>
        <v>0.55070998012160099</v>
      </c>
      <c r="J17" s="123">
        <f t="shared" si="61"/>
        <v>0.1</v>
      </c>
      <c r="K17" s="103" t="s">
        <v>216</v>
      </c>
      <c r="L17" s="123" t="s">
        <v>244</v>
      </c>
      <c r="S17" s="7"/>
      <c r="T17" s="111">
        <f>SUM(T14:T16)</f>
        <v>2461.067</v>
      </c>
      <c r="U17" s="113">
        <f t="shared" ref="U17:V17" si="87">SUM(U14:U16)</f>
        <v>4117.2749999999996</v>
      </c>
      <c r="V17" s="109">
        <f t="shared" si="87"/>
        <v>1518.29</v>
      </c>
      <c r="W17" s="102">
        <f>SUM(W14:W16)</f>
        <v>8096.6319999999996</v>
      </c>
      <c r="X17" s="123">
        <f t="shared" si="63"/>
        <v>0.23080131741402318</v>
      </c>
      <c r="Y17" s="123">
        <f t="shared" si="64"/>
        <v>0.5977417102331033</v>
      </c>
      <c r="AB17" s="123">
        <f t="shared" si="65"/>
        <v>0.05</v>
      </c>
      <c r="AC17" s="103" t="s">
        <v>216</v>
      </c>
      <c r="AD17" s="123" t="s">
        <v>244</v>
      </c>
      <c r="AJ17" s="57"/>
      <c r="AK17" s="204">
        <f>SUM(AK14:AK16)</f>
        <v>4323.2880000000005</v>
      </c>
      <c r="AL17" s="205">
        <f t="shared" ref="AL17:AM17" si="88">SUM(AL14:AL16)</f>
        <v>8588.3590000000004</v>
      </c>
      <c r="AM17" s="206">
        <f t="shared" si="88"/>
        <v>1389.549</v>
      </c>
      <c r="AN17" s="207">
        <f>SUM(AN14:AN16)</f>
        <v>14301.196</v>
      </c>
      <c r="AO17" s="123">
        <f t="shared" si="67"/>
        <v>0.10761981023799674</v>
      </c>
      <c r="AP17" s="123">
        <f t="shared" si="68"/>
        <v>0.50338929707060454</v>
      </c>
      <c r="AT17" s="123">
        <f t="shared" si="69"/>
        <v>0.03</v>
      </c>
      <c r="AU17" s="103" t="s">
        <v>216</v>
      </c>
      <c r="AV17" s="123" t="s">
        <v>244</v>
      </c>
      <c r="BG17" s="7"/>
      <c r="BH17" s="111">
        <f>SUM(BH14:BH16)</f>
        <v>1194.27</v>
      </c>
      <c r="BI17" s="113">
        <f t="shared" ref="BI17:BJ17" si="89">SUM(BI14:BI16)</f>
        <v>2448.799</v>
      </c>
      <c r="BJ17" s="109">
        <f t="shared" si="89"/>
        <v>1771.346</v>
      </c>
      <c r="BK17" s="102">
        <f>SUM(BK14:BK16)</f>
        <v>5414.415</v>
      </c>
      <c r="BL17" s="123">
        <f t="shared" si="71"/>
        <v>0.48622356590006943</v>
      </c>
      <c r="BM17" s="123">
        <f t="shared" si="72"/>
        <v>0.48769621353161285</v>
      </c>
      <c r="BN17" s="123"/>
      <c r="BO17" s="123"/>
      <c r="BP17" s="123"/>
      <c r="BQ17" s="123">
        <f t="shared" ref="BQ17" si="90">BQ16</f>
        <v>1.4999999999999999E-2</v>
      </c>
      <c r="BR17" s="103" t="s">
        <v>216</v>
      </c>
      <c r="BS17" s="123" t="s">
        <v>244</v>
      </c>
      <c r="BT17" s="123"/>
      <c r="BU17" s="123"/>
      <c r="BV17" s="123"/>
      <c r="BW17" s="123"/>
      <c r="BX17" s="123"/>
      <c r="BY17" s="123"/>
      <c r="BZ17" s="123"/>
      <c r="CA17" s="123"/>
      <c r="CB17" s="98"/>
      <c r="CC17" s="7"/>
      <c r="CD17" s="111">
        <f>SUM(CD14:CD16)</f>
        <v>778.82399999999996</v>
      </c>
      <c r="CE17" s="113">
        <f t="shared" ref="CE17:CF17" si="91">SUM(CE14:CE16)</f>
        <v>1562.9780000000001</v>
      </c>
      <c r="CF17" s="109">
        <f t="shared" si="91"/>
        <v>2138.277</v>
      </c>
      <c r="CG17" s="102">
        <f>SUM(CG14:CG16)</f>
        <v>4480.0789999999997</v>
      </c>
      <c r="CH17" s="123">
        <f t="shared" si="75"/>
        <v>0.91309043206897933</v>
      </c>
      <c r="CI17" s="123">
        <f t="shared" si="76"/>
        <v>0.49829492161757871</v>
      </c>
      <c r="CM17" s="123">
        <f t="shared" ref="CM17" si="92">CM16</f>
        <v>7.0000000000000001E-3</v>
      </c>
      <c r="CN17" s="103" t="s">
        <v>216</v>
      </c>
      <c r="CO17" s="123" t="s">
        <v>244</v>
      </c>
      <c r="CS17" s="130" t="s">
        <v>12</v>
      </c>
      <c r="CT17" s="123">
        <f>CT12/CT4</f>
        <v>1</v>
      </c>
      <c r="CU17" s="123" t="s">
        <v>163</v>
      </c>
      <c r="CV17" s="123">
        <f>CU12/CU4</f>
        <v>1</v>
      </c>
      <c r="CW17" s="124" t="s">
        <v>255</v>
      </c>
      <c r="CX17" s="123"/>
      <c r="CY17" s="123"/>
      <c r="CZ17" s="123"/>
      <c r="DA17" s="123"/>
      <c r="DB17" s="124" t="s">
        <v>396</v>
      </c>
      <c r="DC17" s="123"/>
      <c r="DD17" s="98"/>
      <c r="DE17" s="130" t="s">
        <v>12</v>
      </c>
      <c r="DF17" s="123">
        <f>DF12/DF4</f>
        <v>0.99737987605066969</v>
      </c>
      <c r="DG17" s="123" t="s">
        <v>163</v>
      </c>
      <c r="DH17" s="123">
        <f>DG12/DG4</f>
        <v>0.99800374735146302</v>
      </c>
      <c r="DI17" s="124" t="s">
        <v>255</v>
      </c>
      <c r="DJ17" s="123"/>
      <c r="DK17" s="123"/>
      <c r="DL17" s="123"/>
      <c r="DM17" s="123"/>
      <c r="DN17" s="124" t="s">
        <v>396</v>
      </c>
      <c r="DO17" s="123"/>
      <c r="DP17" s="98"/>
      <c r="DQ17" s="130" t="s">
        <v>12</v>
      </c>
      <c r="DR17" s="123">
        <f>DR12/DR4</f>
        <v>0.99849992296901735</v>
      </c>
      <c r="DS17" s="123" t="s">
        <v>163</v>
      </c>
      <c r="DT17" s="123">
        <f>DS12/DS4</f>
        <v>0.99588272791679555</v>
      </c>
      <c r="DU17" s="124" t="s">
        <v>255</v>
      </c>
      <c r="DV17" s="123"/>
      <c r="DW17" s="123"/>
      <c r="DX17" s="123"/>
      <c r="DY17" s="123"/>
      <c r="DZ17" s="124" t="s">
        <v>396</v>
      </c>
      <c r="EA17" s="123"/>
      <c r="EB17" s="98"/>
      <c r="EC17" s="130" t="s">
        <v>12</v>
      </c>
      <c r="ED17" s="123">
        <f>ED12/ED4</f>
        <v>0.99543806360298237</v>
      </c>
      <c r="EE17" s="123" t="s">
        <v>163</v>
      </c>
      <c r="EF17" s="123">
        <f>EE12/EE4</f>
        <v>0.99831929702771338</v>
      </c>
      <c r="EG17" s="124" t="s">
        <v>255</v>
      </c>
      <c r="EH17" s="123"/>
      <c r="EI17" s="123"/>
      <c r="EJ17" s="123"/>
      <c r="EK17" s="123"/>
      <c r="EL17" s="124" t="s">
        <v>396</v>
      </c>
      <c r="EM17" s="123"/>
      <c r="EN17" s="98"/>
      <c r="EO17" s="130" t="s">
        <v>12</v>
      </c>
      <c r="EP17" s="123">
        <f>EP12/EP4</f>
        <v>1.0021276909032011</v>
      </c>
      <c r="EQ17" s="123" t="s">
        <v>163</v>
      </c>
      <c r="ER17" s="123">
        <f>EQ12/EQ4</f>
        <v>1.0026790138499655</v>
      </c>
      <c r="ES17" s="124" t="s">
        <v>255</v>
      </c>
      <c r="ET17" s="123"/>
      <c r="EU17" s="123"/>
      <c r="EV17" s="123"/>
      <c r="EW17" s="123"/>
      <c r="EX17" s="124" t="s">
        <v>396</v>
      </c>
      <c r="EY17" s="123"/>
      <c r="EZ17" s="98"/>
      <c r="FA17" s="130" t="s">
        <v>12</v>
      </c>
      <c r="FB17" s="123">
        <f>FB12/FB4</f>
        <v>0.98117954031885535</v>
      </c>
      <c r="FC17" s="123" t="s">
        <v>163</v>
      </c>
      <c r="FD17" s="123">
        <f>FC12/FC4</f>
        <v>1.012403908878116</v>
      </c>
      <c r="FE17" s="124" t="s">
        <v>255</v>
      </c>
      <c r="FF17" s="123"/>
      <c r="FG17" s="123"/>
      <c r="FH17" s="123"/>
      <c r="FI17" s="123"/>
      <c r="FJ17" s="124" t="s">
        <v>423</v>
      </c>
      <c r="FK17" s="123"/>
      <c r="FL17" s="98"/>
    </row>
    <row r="18" spans="1:168" ht="15.75" thickTop="1">
      <c r="A18" s="130"/>
      <c r="F18" s="124" t="s">
        <v>420</v>
      </c>
      <c r="G18" s="103">
        <f>AVERAGE(G14:G16)</f>
        <v>0.5661416613512178</v>
      </c>
      <c r="J18" s="123">
        <f t="shared" si="61"/>
        <v>0.1</v>
      </c>
      <c r="K18" s="103" t="s">
        <v>217</v>
      </c>
      <c r="L18" s="123" t="s">
        <v>245</v>
      </c>
      <c r="X18" s="124" t="s">
        <v>420</v>
      </c>
      <c r="Y18" s="103">
        <f>AVERAGE(Y14:Y16)</f>
        <v>0.60661178168540719</v>
      </c>
      <c r="AB18" s="123">
        <f t="shared" si="65"/>
        <v>0.05</v>
      </c>
      <c r="AC18" s="103" t="s">
        <v>217</v>
      </c>
      <c r="AD18" s="123" t="s">
        <v>245</v>
      </c>
      <c r="AO18" s="124" t="s">
        <v>420</v>
      </c>
      <c r="AP18" s="103">
        <f>AVERAGE(AP14:AP16)</f>
        <v>0.5013246676541746</v>
      </c>
      <c r="AT18" s="123">
        <f t="shared" si="69"/>
        <v>0.03</v>
      </c>
      <c r="AU18" s="103" t="s">
        <v>217</v>
      </c>
      <c r="AV18" s="123" t="s">
        <v>245</v>
      </c>
      <c r="BG18" s="130"/>
      <c r="BH18" s="123"/>
      <c r="BI18" s="123"/>
      <c r="BJ18" s="123"/>
      <c r="BK18" s="123"/>
      <c r="BL18" s="124" t="s">
        <v>420</v>
      </c>
      <c r="BM18" s="103">
        <f>AVERAGE(BM14:BM16)</f>
        <v>0.48976866300112709</v>
      </c>
      <c r="BN18" s="123"/>
      <c r="BO18" s="123"/>
      <c r="BP18" s="123"/>
      <c r="BQ18" s="123">
        <f t="shared" ref="BQ18" si="93">BQ17</f>
        <v>1.4999999999999999E-2</v>
      </c>
      <c r="BR18" s="103" t="s">
        <v>217</v>
      </c>
      <c r="BS18" s="123" t="s">
        <v>245</v>
      </c>
      <c r="BT18" s="123"/>
      <c r="BU18" s="123"/>
      <c r="BV18" s="123"/>
      <c r="BW18" s="123"/>
      <c r="BX18" s="123"/>
      <c r="BY18" s="123"/>
      <c r="BZ18" s="123"/>
      <c r="CA18" s="123"/>
      <c r="CB18" s="98"/>
      <c r="CC18" s="130"/>
      <c r="CH18" s="124" t="s">
        <v>420</v>
      </c>
      <c r="CI18" s="103">
        <f>AVERAGE(CI14:CI16)</f>
        <v>0.4999287459646044</v>
      </c>
      <c r="CM18" s="123">
        <f t="shared" ref="CM18" si="94">CM17</f>
        <v>7.0000000000000001E-3</v>
      </c>
      <c r="CN18" s="103" t="s">
        <v>217</v>
      </c>
      <c r="CO18" s="123" t="s">
        <v>245</v>
      </c>
      <c r="CS18" s="130" t="s">
        <v>13</v>
      </c>
      <c r="CT18" s="123">
        <f t="shared" ref="CT18:CT19" si="95">CT13/CT5</f>
        <v>1</v>
      </c>
      <c r="CU18" s="123" t="s">
        <v>164</v>
      </c>
      <c r="CV18" s="123">
        <f t="shared" ref="CV18:CV19" si="96">CU13/CU5</f>
        <v>1</v>
      </c>
      <c r="CW18" s="123">
        <f>VAR(CY4:CY6)</f>
        <v>1.5899697604694046E-21</v>
      </c>
      <c r="CX18" s="124">
        <f>STDEV(CY4:CY6)/CY8</f>
        <v>1.1298635075067462E-2</v>
      </c>
      <c r="CY18" s="124" t="s">
        <v>449</v>
      </c>
      <c r="CZ18" s="123"/>
      <c r="DA18" s="123"/>
      <c r="DB18" s="123"/>
      <c r="DC18" s="123"/>
      <c r="DD18" s="98"/>
      <c r="DE18" s="130" t="s">
        <v>13</v>
      </c>
      <c r="DF18" s="123">
        <f t="shared" ref="DF18:DF19" si="97">DF13/DF5</f>
        <v>0.99708705494235528</v>
      </c>
      <c r="DG18" s="123" t="s">
        <v>164</v>
      </c>
      <c r="DH18" s="123">
        <f t="shared" ref="DH18:DH19" si="98">DG13/DG5</f>
        <v>0.99800589462559575</v>
      </c>
      <c r="DI18" s="123">
        <f>VAR(DK4:DK6)</f>
        <v>0.58420273019874003</v>
      </c>
      <c r="DJ18" s="124">
        <f>STDEV(DK4:DK6)/DK8</f>
        <v>5.8003605733959865E-2</v>
      </c>
      <c r="DK18" s="124" t="s">
        <v>449</v>
      </c>
      <c r="DL18" s="123"/>
      <c r="DM18" s="123"/>
      <c r="DN18" s="123"/>
      <c r="DO18" s="123"/>
      <c r="DP18" s="98"/>
      <c r="DQ18" s="130" t="s">
        <v>13</v>
      </c>
      <c r="DR18" s="123">
        <f t="shared" ref="DR18:DR19" si="99">DR13/DR5</f>
        <v>0.99802052536785946</v>
      </c>
      <c r="DS18" s="123" t="s">
        <v>164</v>
      </c>
      <c r="DT18" s="123">
        <f t="shared" ref="DT18:DT19" si="100">DS13/DS5</f>
        <v>0.99588584593864427</v>
      </c>
      <c r="DU18" s="123">
        <f>VAR(DW4:DW6)</f>
        <v>1.6125033193521432E-2</v>
      </c>
      <c r="DV18" s="124">
        <f>STDEV(DW4:DW6)/DW8</f>
        <v>3.0487117774333224E-2</v>
      </c>
      <c r="DW18" s="124" t="s">
        <v>449</v>
      </c>
      <c r="DX18" s="123"/>
      <c r="DY18" s="123"/>
      <c r="DZ18" s="123"/>
      <c r="EA18" s="123"/>
      <c r="EB18" s="98"/>
      <c r="EC18" s="130" t="s">
        <v>13</v>
      </c>
      <c r="ED18" s="123">
        <f t="shared" ref="ED18:ED19" si="101">ED13/ED5</f>
        <v>0.99545972150517559</v>
      </c>
      <c r="EE18" s="123" t="s">
        <v>164</v>
      </c>
      <c r="EF18" s="123">
        <f t="shared" ref="EF18:EF19" si="102">EE13/EE5</f>
        <v>0.9983212239803344</v>
      </c>
      <c r="EG18" s="123">
        <f>VAR(EI4:EI6)</f>
        <v>3.4319915973679116E-2</v>
      </c>
      <c r="EH18" s="124">
        <f>STDEV(EI4:EI6)/EI8</f>
        <v>4.1731337386871903E-2</v>
      </c>
      <c r="EI18" s="124" t="s">
        <v>449</v>
      </c>
      <c r="EJ18" s="123"/>
      <c r="EK18" s="123"/>
      <c r="EL18" s="123"/>
      <c r="EM18" s="123"/>
      <c r="EN18" s="98"/>
      <c r="EO18" s="130" t="s">
        <v>13</v>
      </c>
      <c r="EP18" s="123">
        <f t="shared" ref="EP18:EP19" si="103">EP13/EP5</f>
        <v>1.0021019315440216</v>
      </c>
      <c r="EQ18" s="123" t="s">
        <v>164</v>
      </c>
      <c r="ER18" s="123">
        <f t="shared" ref="ER18:ER19" si="104">EQ13/EQ5</f>
        <v>1.002681119727852</v>
      </c>
      <c r="ES18" s="123">
        <f>VAR(EU4:EU6)</f>
        <v>2.6247597505575371E-3</v>
      </c>
      <c r="ET18" s="124">
        <f>STDEV(EU4:EU6)/EU8</f>
        <v>2.3416279969153853E-2</v>
      </c>
      <c r="EU18" s="124" t="s">
        <v>449</v>
      </c>
      <c r="EV18" s="123"/>
      <c r="EW18" s="123"/>
      <c r="EX18" s="123"/>
      <c r="EY18" s="123"/>
      <c r="EZ18" s="98"/>
      <c r="FA18" s="130" t="s">
        <v>13</v>
      </c>
      <c r="FB18" s="123">
        <f t="shared" ref="FB18:FB19" si="105">FB13/FB5</f>
        <v>0.98119605700726742</v>
      </c>
      <c r="FC18" s="123" t="s">
        <v>164</v>
      </c>
      <c r="FD18" s="123">
        <f t="shared" ref="FD18:FD19" si="106">FC13/FC5</f>
        <v>1.0124041872259266</v>
      </c>
      <c r="FE18" s="123">
        <f>VAR(FG4:FG6)</f>
        <v>4.9584460526292048E-3</v>
      </c>
      <c r="FF18" s="124">
        <f>STDEV(FG4:FG6)/FG8</f>
        <v>0.39919685157317619</v>
      </c>
      <c r="FG18" s="124" t="s">
        <v>449</v>
      </c>
      <c r="FH18" s="123"/>
      <c r="FI18" s="123"/>
      <c r="FJ18" s="123" t="s">
        <v>415</v>
      </c>
      <c r="FK18" s="123"/>
      <c r="FL18" s="98"/>
    </row>
    <row r="19" spans="1:168">
      <c r="A19" s="130" t="s">
        <v>12</v>
      </c>
      <c r="B19" s="123">
        <f>B14/B6</f>
        <v>0.98440036489534399</v>
      </c>
      <c r="C19" s="123" t="s">
        <v>163</v>
      </c>
      <c r="D19" s="123">
        <f>C14/C6</f>
        <v>0.9957299981969282</v>
      </c>
      <c r="E19" s="124" t="s">
        <v>255</v>
      </c>
      <c r="J19" s="124" t="s">
        <v>246</v>
      </c>
      <c r="S19" s="130" t="s">
        <v>12</v>
      </c>
      <c r="T19" s="123">
        <f>T14/T6</f>
        <v>0.99378369678924927</v>
      </c>
      <c r="U19" s="123" t="s">
        <v>163</v>
      </c>
      <c r="V19" s="123">
        <f>U14/U6</f>
        <v>0.9931897633383574</v>
      </c>
      <c r="W19" s="124" t="s">
        <v>255</v>
      </c>
      <c r="AB19" s="124" t="s">
        <v>246</v>
      </c>
      <c r="AJ19" s="130" t="s">
        <v>12</v>
      </c>
      <c r="AK19" s="123">
        <f>AK14/AK6</f>
        <v>1.0007967028757909</v>
      </c>
      <c r="AL19" s="123" t="s">
        <v>163</v>
      </c>
      <c r="AM19" s="123">
        <f>AL14/AL6</f>
        <v>1.0005278508763482</v>
      </c>
      <c r="AN19" s="124" t="s">
        <v>255</v>
      </c>
      <c r="AS19" s="124"/>
      <c r="AT19" s="124" t="s">
        <v>246</v>
      </c>
      <c r="BG19" s="130" t="s">
        <v>12</v>
      </c>
      <c r="BH19" s="123">
        <f>BH14/BH6</f>
        <v>1.0023850978189648</v>
      </c>
      <c r="BI19" s="123" t="s">
        <v>163</v>
      </c>
      <c r="BJ19" s="123">
        <f>BI14/BI6</f>
        <v>0.99879030078453379</v>
      </c>
      <c r="BK19" s="124" t="s">
        <v>255</v>
      </c>
      <c r="BL19" s="123"/>
      <c r="BM19" s="123"/>
      <c r="BN19" s="123"/>
      <c r="BO19" s="123"/>
      <c r="BP19" s="123"/>
      <c r="BQ19" s="124" t="s">
        <v>246</v>
      </c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98"/>
      <c r="CC19" s="130" t="s">
        <v>12</v>
      </c>
      <c r="CD19" s="123">
        <f>CD14/CD6</f>
        <v>1.0038493526757786</v>
      </c>
      <c r="CE19" s="123" t="s">
        <v>163</v>
      </c>
      <c r="CF19" s="123">
        <f>CE14/CE6</f>
        <v>1.0034992901334105</v>
      </c>
      <c r="CG19" s="124" t="s">
        <v>255</v>
      </c>
      <c r="CM19" s="124" t="s">
        <v>246</v>
      </c>
      <c r="CS19" s="130" t="s">
        <v>14</v>
      </c>
      <c r="CT19" s="123">
        <f t="shared" si="95"/>
        <v>1</v>
      </c>
      <c r="CU19" s="123" t="s">
        <v>165</v>
      </c>
      <c r="CV19" s="123">
        <f t="shared" si="96"/>
        <v>1</v>
      </c>
      <c r="CW19" s="123"/>
      <c r="CX19" s="123"/>
      <c r="CY19" s="124" t="s">
        <v>438</v>
      </c>
      <c r="CZ19" s="123"/>
      <c r="DA19" s="123"/>
      <c r="DB19" s="123"/>
      <c r="DC19" s="123"/>
      <c r="DD19" s="98"/>
      <c r="DE19" s="130" t="s">
        <v>14</v>
      </c>
      <c r="DF19" s="123">
        <f t="shared" si="97"/>
        <v>0.99713219423687127</v>
      </c>
      <c r="DG19" s="123" t="s">
        <v>165</v>
      </c>
      <c r="DH19" s="123">
        <f t="shared" si="98"/>
        <v>0.99800459365448724</v>
      </c>
      <c r="DI19" s="123"/>
      <c r="DJ19" s="123"/>
      <c r="DK19" s="124" t="s">
        <v>438</v>
      </c>
      <c r="DL19" s="123"/>
      <c r="DM19" s="123"/>
      <c r="DN19" s="123"/>
      <c r="DO19" s="123"/>
      <c r="DP19" s="98"/>
      <c r="DQ19" s="130" t="s">
        <v>14</v>
      </c>
      <c r="DR19" s="123">
        <f t="shared" si="99"/>
        <v>0.99827018896305353</v>
      </c>
      <c r="DS19" s="123" t="s">
        <v>165</v>
      </c>
      <c r="DT19" s="123">
        <f t="shared" si="100"/>
        <v>0.99588362531312347</v>
      </c>
      <c r="DU19" s="123"/>
      <c r="DV19" s="123"/>
      <c r="DW19" s="124" t="s">
        <v>438</v>
      </c>
      <c r="DX19" s="123"/>
      <c r="DY19" s="123"/>
      <c r="DZ19" s="123"/>
      <c r="EA19" s="123"/>
      <c r="EB19" s="98"/>
      <c r="EC19" s="130" t="s">
        <v>14</v>
      </c>
      <c r="ED19" s="123">
        <f t="shared" si="101"/>
        <v>0.99539963574115131</v>
      </c>
      <c r="EE19" s="123" t="s">
        <v>165</v>
      </c>
      <c r="EF19" s="123">
        <f t="shared" si="102"/>
        <v>0.99831943844855708</v>
      </c>
      <c r="EG19" s="123"/>
      <c r="EH19" s="123"/>
      <c r="EI19" s="124" t="s">
        <v>438</v>
      </c>
      <c r="EJ19" s="123"/>
      <c r="EK19" s="123"/>
      <c r="EL19" s="123"/>
      <c r="EM19" s="123"/>
      <c r="EN19" s="98"/>
      <c r="EO19" s="130" t="s">
        <v>14</v>
      </c>
      <c r="EP19" s="123">
        <f t="shared" si="103"/>
        <v>1.0022334993741007</v>
      </c>
      <c r="EQ19" s="123" t="s">
        <v>165</v>
      </c>
      <c r="ER19" s="123">
        <f t="shared" si="104"/>
        <v>1.0026795058734506</v>
      </c>
      <c r="ES19" s="123"/>
      <c r="ET19" s="123"/>
      <c r="EU19" s="124" t="s">
        <v>438</v>
      </c>
      <c r="EV19" s="123"/>
      <c r="EW19" s="123"/>
      <c r="EX19" s="123"/>
      <c r="EY19" s="123"/>
      <c r="EZ19" s="98"/>
      <c r="FA19" s="130" t="s">
        <v>14</v>
      </c>
      <c r="FB19" s="123">
        <f t="shared" si="105"/>
        <v>0.98117029197255612</v>
      </c>
      <c r="FC19" s="123" t="s">
        <v>165</v>
      </c>
      <c r="FD19" s="123">
        <f t="shared" si="106"/>
        <v>1.0124038981574677</v>
      </c>
      <c r="FE19" s="123">
        <f>FE18/FG8</f>
        <v>2.8109939031169328E-2</v>
      </c>
      <c r="FF19" s="123"/>
      <c r="FG19" s="124" t="s">
        <v>438</v>
      </c>
      <c r="FH19" s="123"/>
      <c r="FI19" s="123"/>
      <c r="FJ19" s="123" t="s">
        <v>403</v>
      </c>
      <c r="FK19" s="123">
        <v>1</v>
      </c>
      <c r="FL19" s="98" t="s">
        <v>416</v>
      </c>
    </row>
    <row r="20" spans="1:168">
      <c r="A20" s="130" t="s">
        <v>13</v>
      </c>
      <c r="B20" s="123">
        <f t="shared" ref="B20:B21" si="107">B15/B7</f>
        <v>0.98525308888003194</v>
      </c>
      <c r="C20" s="123" t="s">
        <v>164</v>
      </c>
      <c r="D20" s="123">
        <f t="shared" ref="D20:D21" si="108">C15/C7</f>
        <v>0.99560740367416722</v>
      </c>
      <c r="E20" s="123">
        <f>VAR(G6:G8)</f>
        <v>1.1233808315234739E-2</v>
      </c>
      <c r="F20" s="124">
        <f>STDEV(G6:G8)/G10</f>
        <v>0.18529135785621442</v>
      </c>
      <c r="G20" s="124" t="s">
        <v>449</v>
      </c>
      <c r="S20" s="130" t="s">
        <v>13</v>
      </c>
      <c r="T20" s="123">
        <f t="shared" ref="T20:T21" si="109">T15/T7</f>
        <v>0.9938434830133176</v>
      </c>
      <c r="U20" s="123" t="s">
        <v>164</v>
      </c>
      <c r="V20" s="123">
        <f t="shared" ref="V20:V21" si="110">U15/U7</f>
        <v>0.99325473275646869</v>
      </c>
      <c r="W20" s="123">
        <f>VAR(Y6:Y8)</f>
        <v>1.1366408367602387E-3</v>
      </c>
      <c r="X20" s="124">
        <f>STDEV(Y6:Y8)/Y10</f>
        <v>5.5570929091264577E-2</v>
      </c>
      <c r="Y20" s="124" t="s">
        <v>449</v>
      </c>
      <c r="AJ20" s="130" t="s">
        <v>13</v>
      </c>
      <c r="AK20" s="123">
        <f t="shared" ref="AK20:AK21" si="111">AK15/AK7</f>
        <v>1.0003692492316925</v>
      </c>
      <c r="AL20" s="123" t="s">
        <v>164</v>
      </c>
      <c r="AM20" s="123">
        <f t="shared" ref="AM20:AM21" si="112">AL15/AL7</f>
        <v>1.0005708604848043</v>
      </c>
      <c r="AN20" s="123">
        <f>VAR(AP6:AP8)</f>
        <v>2.1631777018489044E-5</v>
      </c>
      <c r="AO20" s="124">
        <f>STDEV(AP6:AP8)/AP10</f>
        <v>9.2787139516637002E-3</v>
      </c>
      <c r="AP20" s="124" t="s">
        <v>449</v>
      </c>
      <c r="BG20" s="130" t="s">
        <v>13</v>
      </c>
      <c r="BH20" s="123">
        <f t="shared" ref="BH20:BH21" si="113">BH15/BH7</f>
        <v>1.0026987876042925</v>
      </c>
      <c r="BI20" s="123" t="s">
        <v>164</v>
      </c>
      <c r="BJ20" s="123">
        <f t="shared" ref="BJ20:BJ21" si="114">BI15/BI7</f>
        <v>0.99875145962453982</v>
      </c>
      <c r="BK20" s="123">
        <f>VAR(BM6:BM8)</f>
        <v>8.2770527367824495E-5</v>
      </c>
      <c r="BL20" s="124">
        <f>STDEV(BM6:BM8)/BM10</f>
        <v>1.8647148832559326E-2</v>
      </c>
      <c r="BM20" s="124" t="s">
        <v>449</v>
      </c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98"/>
      <c r="CC20" s="130" t="s">
        <v>13</v>
      </c>
      <c r="CD20" s="123">
        <f t="shared" ref="CD20:CD21" si="115">CD15/CD7</f>
        <v>1.0037208824435995</v>
      </c>
      <c r="CE20" s="123" t="s">
        <v>164</v>
      </c>
      <c r="CF20" s="123">
        <f t="shared" ref="CF20:CF21" si="116">CE15/CE7</f>
        <v>1.003249018833233</v>
      </c>
      <c r="CG20" s="123">
        <f>VAR(CI6:CI8)</f>
        <v>3.9457617588774722E-5</v>
      </c>
      <c r="CH20" s="124">
        <f>STDEV(CI6:CI8)/CI10</f>
        <v>1.2569724333652487E-2</v>
      </c>
      <c r="CI20" s="124" t="s">
        <v>449</v>
      </c>
      <c r="CS20" s="130" t="s">
        <v>15</v>
      </c>
      <c r="CT20" s="123">
        <f>CW12/CW4</f>
        <v>1</v>
      </c>
      <c r="CU20" s="123" t="s">
        <v>67</v>
      </c>
      <c r="CV20" s="123">
        <f>CW13/CW5</f>
        <v>1</v>
      </c>
      <c r="CW20" s="124" t="s">
        <v>256</v>
      </c>
      <c r="CX20" s="123"/>
      <c r="CY20" s="123"/>
      <c r="CZ20" s="123"/>
      <c r="DA20" s="123"/>
      <c r="DB20" s="123"/>
      <c r="DC20" s="123"/>
      <c r="DD20" s="98"/>
      <c r="DE20" s="130" t="s">
        <v>15</v>
      </c>
      <c r="DF20" s="123">
        <f>DI12/DI4</f>
        <v>0.99735129327378014</v>
      </c>
      <c r="DG20" s="123" t="s">
        <v>67</v>
      </c>
      <c r="DH20" s="123">
        <f>DI13/DI5</f>
        <v>0.99800922520574542</v>
      </c>
      <c r="DI20" s="124" t="s">
        <v>256</v>
      </c>
      <c r="DJ20" s="123"/>
      <c r="DK20" s="123"/>
      <c r="DL20" s="123"/>
      <c r="DM20" s="123"/>
      <c r="DN20" s="123"/>
      <c r="DO20" s="123"/>
      <c r="DP20" s="98"/>
      <c r="DQ20" s="130" t="s">
        <v>15</v>
      </c>
      <c r="DR20" s="123">
        <f>DU12/DU4</f>
        <v>0.99839626859941488</v>
      </c>
      <c r="DS20" s="123" t="s">
        <v>67</v>
      </c>
      <c r="DT20" s="123">
        <f>DU13/DU5</f>
        <v>0.9958836177369782</v>
      </c>
      <c r="DU20" s="124" t="s">
        <v>256</v>
      </c>
      <c r="DV20" s="123"/>
      <c r="DW20" s="123"/>
      <c r="DX20" s="123"/>
      <c r="DY20" s="123"/>
      <c r="DZ20" s="123"/>
      <c r="EA20" s="123"/>
      <c r="EB20" s="98"/>
      <c r="EC20" s="130" t="s">
        <v>15</v>
      </c>
      <c r="ED20" s="123">
        <f>EG12/EG4</f>
        <v>0.99543895127835247</v>
      </c>
      <c r="EE20" s="123" t="s">
        <v>67</v>
      </c>
      <c r="EF20" s="123">
        <f>EG13/EG5</f>
        <v>0.99832019204815947</v>
      </c>
      <c r="EG20" s="124" t="s">
        <v>256</v>
      </c>
      <c r="EH20" s="123"/>
      <c r="EI20" s="123"/>
      <c r="EJ20" s="123"/>
      <c r="EK20" s="123"/>
      <c r="EL20" s="123"/>
      <c r="EM20" s="123"/>
      <c r="EN20" s="98"/>
      <c r="EO20" s="130" t="s">
        <v>15</v>
      </c>
      <c r="EP20" s="123">
        <f>ES12/ES4</f>
        <v>1.0021292821949035</v>
      </c>
      <c r="EQ20" s="123" t="s">
        <v>67</v>
      </c>
      <c r="ER20" s="123">
        <f>ES13/ES5</f>
        <v>1.0026803651129315</v>
      </c>
      <c r="ES20" s="124" t="s">
        <v>256</v>
      </c>
      <c r="ET20" s="123"/>
      <c r="EU20" s="123"/>
      <c r="EV20" s="123"/>
      <c r="EW20" s="123"/>
      <c r="EX20" s="123"/>
      <c r="EY20" s="123"/>
      <c r="EZ20" s="98"/>
      <c r="FA20" s="130" t="s">
        <v>15</v>
      </c>
      <c r="FB20" s="123">
        <f>FE12/FE4</f>
        <v>0.98118845310687786</v>
      </c>
      <c r="FC20" s="123" t="s">
        <v>67</v>
      </c>
      <c r="FD20" s="123">
        <f>FE13/FE5</f>
        <v>1.0124040680089463</v>
      </c>
      <c r="FE20" s="124" t="s">
        <v>256</v>
      </c>
      <c r="FF20" s="123"/>
      <c r="FG20" s="123"/>
      <c r="FH20" s="123"/>
      <c r="FI20" s="123"/>
      <c r="FJ20" s="123" t="s">
        <v>401</v>
      </c>
      <c r="FK20" s="123">
        <v>500</v>
      </c>
      <c r="FL20" s="98" t="s">
        <v>417</v>
      </c>
    </row>
    <row r="21" spans="1:168">
      <c r="A21" s="130" t="s">
        <v>14</v>
      </c>
      <c r="B21" s="123">
        <f t="shared" si="107"/>
        <v>0.98567357285195167</v>
      </c>
      <c r="C21" s="123" t="s">
        <v>165</v>
      </c>
      <c r="D21" s="123">
        <f t="shared" si="108"/>
        <v>0.99501909832533619</v>
      </c>
      <c r="G21" s="124" t="s">
        <v>438</v>
      </c>
      <c r="S21" s="130" t="s">
        <v>14</v>
      </c>
      <c r="T21" s="123">
        <f t="shared" si="109"/>
        <v>0.99247330146408341</v>
      </c>
      <c r="U21" s="123" t="s">
        <v>165</v>
      </c>
      <c r="V21" s="123">
        <f t="shared" si="110"/>
        <v>0.99389256533457715</v>
      </c>
      <c r="Y21" s="124" t="s">
        <v>438</v>
      </c>
      <c r="AJ21" s="130" t="s">
        <v>14</v>
      </c>
      <c r="AK21" s="123">
        <f t="shared" si="111"/>
        <v>1.0007721599068597</v>
      </c>
      <c r="AL21" s="123" t="s">
        <v>165</v>
      </c>
      <c r="AM21" s="123">
        <f t="shared" si="112"/>
        <v>1.0004151996477963</v>
      </c>
      <c r="AP21" s="124" t="s">
        <v>438</v>
      </c>
      <c r="BG21" s="130" t="s">
        <v>14</v>
      </c>
      <c r="BH21" s="123">
        <f t="shared" si="113"/>
        <v>1.00265028773453</v>
      </c>
      <c r="BI21" s="123" t="s">
        <v>165</v>
      </c>
      <c r="BJ21" s="123">
        <f t="shared" si="114"/>
        <v>0.99867224531421039</v>
      </c>
      <c r="BK21" s="123"/>
      <c r="BL21" s="123"/>
      <c r="BM21" s="124" t="s">
        <v>438</v>
      </c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98"/>
      <c r="CC21" s="130" t="s">
        <v>14</v>
      </c>
      <c r="CD21" s="123">
        <f t="shared" si="115"/>
        <v>1.003686583285494</v>
      </c>
      <c r="CE21" s="123" t="s">
        <v>165</v>
      </c>
      <c r="CF21" s="123">
        <f t="shared" si="116"/>
        <v>1.0033417793434087</v>
      </c>
      <c r="CI21" s="124" t="s">
        <v>438</v>
      </c>
      <c r="CS21" s="130" t="s">
        <v>170</v>
      </c>
      <c r="CT21" s="123">
        <f>VAR(CT17:CT19)</f>
        <v>0</v>
      </c>
      <c r="CU21" s="123" t="s">
        <v>170</v>
      </c>
      <c r="CV21" s="123">
        <f>VAR(CV17:CV19)</f>
        <v>0</v>
      </c>
      <c r="CW21" s="123">
        <f>VAR(CY12:CY14)</f>
        <v>1.5899697604694046E-21</v>
      </c>
      <c r="CX21" s="124">
        <f>STDEV(CY12:CY14)/CY16</f>
        <v>1.1298635075067462E-2</v>
      </c>
      <c r="CY21" s="124" t="s">
        <v>449</v>
      </c>
      <c r="CZ21" s="123"/>
      <c r="DA21" s="123"/>
      <c r="DB21" s="123"/>
      <c r="DC21" s="123"/>
      <c r="DD21" s="98"/>
      <c r="DE21" s="130" t="s">
        <v>170</v>
      </c>
      <c r="DF21" s="123">
        <f>VAR(DF17:DF19)</f>
        <v>2.4854673045059312E-8</v>
      </c>
      <c r="DG21" s="123" t="s">
        <v>170</v>
      </c>
      <c r="DH21" s="123">
        <f>VAR(DH17:DH19)</f>
        <v>1.1699234725064205E-12</v>
      </c>
      <c r="DI21" s="123">
        <f>VAR(DK12:DK14)</f>
        <v>0.58129031450675939</v>
      </c>
      <c r="DJ21" s="124">
        <f>STDEV(DK12:DK14)/DK16</f>
        <v>5.7905774620661467E-2</v>
      </c>
      <c r="DK21" s="124" t="s">
        <v>449</v>
      </c>
      <c r="DL21" s="123"/>
      <c r="DM21" s="123"/>
      <c r="DN21" s="123"/>
      <c r="DO21" s="123"/>
      <c r="DP21" s="98"/>
      <c r="DQ21" s="130" t="s">
        <v>170</v>
      </c>
      <c r="DR21" s="123">
        <f>VAR(DR17:DR19)</f>
        <v>5.748861404289295E-8</v>
      </c>
      <c r="DS21" s="123" t="s">
        <v>170</v>
      </c>
      <c r="DT21" s="123">
        <f>VAR(DT17:DT19)</f>
        <v>2.5764263536724316E-12</v>
      </c>
      <c r="DU21" s="123">
        <f>VAR(DW12:DW14)</f>
        <v>1.6341255838593582E-2</v>
      </c>
      <c r="DV21" s="124">
        <f>STDEV(DW12:DW14)/DW16</f>
        <v>3.0617601496054931E-2</v>
      </c>
      <c r="DW21" s="124" t="s">
        <v>449</v>
      </c>
      <c r="DX21" s="123"/>
      <c r="DY21" s="123"/>
      <c r="DZ21" s="123"/>
      <c r="EA21" s="123"/>
      <c r="EB21" s="98"/>
      <c r="EC21" s="130" t="s">
        <v>170</v>
      </c>
      <c r="ED21" s="123">
        <f>VAR(ED17:ED19)</f>
        <v>9.2601072178314073E-10</v>
      </c>
      <c r="EE21" s="123" t="s">
        <v>170</v>
      </c>
      <c r="EF21" s="123">
        <f>VAR(EF17:EF19)</f>
        <v>1.1535449977538878E-12</v>
      </c>
      <c r="EG21" s="123">
        <f>VAR(EI12:EI14)</f>
        <v>3.4094175205449773E-2</v>
      </c>
      <c r="EH21" s="124">
        <f>STDEV(EI12:EI14)/EI16</f>
        <v>4.1714539058142215E-2</v>
      </c>
      <c r="EI21" s="124" t="s">
        <v>449</v>
      </c>
      <c r="EJ21" s="123"/>
      <c r="EK21" s="123"/>
      <c r="EL21" s="123"/>
      <c r="EM21" s="123"/>
      <c r="EN21" s="98"/>
      <c r="EO21" s="130" t="s">
        <v>170</v>
      </c>
      <c r="EP21" s="123">
        <f>VAR(EP17:EP19)</f>
        <v>4.8615118351929201E-9</v>
      </c>
      <c r="EQ21" s="123" t="s">
        <v>170</v>
      </c>
      <c r="ER21" s="123">
        <f>VAR(ER17:ER19)</f>
        <v>1.2135558019752475E-12</v>
      </c>
      <c r="ES21" s="123">
        <f>VAR(EU12:EU14)</f>
        <v>2.6065102181931366E-3</v>
      </c>
      <c r="ET21" s="124">
        <f>STDEV(EU12:EU14)/EU16</f>
        <v>2.3346994886348452E-2</v>
      </c>
      <c r="EU21" s="124" t="s">
        <v>449</v>
      </c>
      <c r="EV21" s="123"/>
      <c r="EW21" s="123"/>
      <c r="EX21" s="123"/>
      <c r="EY21" s="123"/>
      <c r="EZ21" s="98"/>
      <c r="FA21" s="130" t="s">
        <v>170</v>
      </c>
      <c r="FB21" s="123">
        <f>VAR(FB17:FB19)</f>
        <v>1.7036165317440453E-10</v>
      </c>
      <c r="FC21" s="123" t="s">
        <v>170</v>
      </c>
      <c r="FD21" s="123">
        <f>VAR(FD17:FD19)</f>
        <v>2.685883498557044E-14</v>
      </c>
      <c r="FE21" s="123">
        <f>VAR(FG12:FG14)</f>
        <v>4.6575452912431883E-3</v>
      </c>
      <c r="FF21" s="124">
        <f>STDEV(FG12:FG14)/FG16</f>
        <v>0.39920530958471689</v>
      </c>
      <c r="FG21" s="124" t="s">
        <v>449</v>
      </c>
      <c r="FH21" s="123"/>
      <c r="FI21" s="123"/>
      <c r="FJ21" s="123"/>
      <c r="FK21" s="123"/>
      <c r="FL21" s="98"/>
    </row>
    <row r="22" spans="1:168">
      <c r="A22" s="130" t="s">
        <v>15</v>
      </c>
      <c r="B22" s="123">
        <f>E14/E6</f>
        <v>0.98507366568511301</v>
      </c>
      <c r="C22" s="123" t="s">
        <v>67</v>
      </c>
      <c r="D22" s="123">
        <f>E15/E7</f>
        <v>0.9955835725644665</v>
      </c>
      <c r="E22" s="124" t="s">
        <v>256</v>
      </c>
      <c r="S22" s="130" t="s">
        <v>15</v>
      </c>
      <c r="T22" s="123">
        <f>W14/W6</f>
        <v>0.99355919873105647</v>
      </c>
      <c r="U22" s="123" t="s">
        <v>67</v>
      </c>
      <c r="V22" s="123">
        <f>W15/W7</f>
        <v>0.99334932429269929</v>
      </c>
      <c r="W22" s="124" t="s">
        <v>256</v>
      </c>
      <c r="AJ22" s="130" t="s">
        <v>15</v>
      </c>
      <c r="AK22" s="123">
        <f>AN14/AN6</f>
        <v>1.0005369172249527</v>
      </c>
      <c r="AL22" s="123" t="s">
        <v>67</v>
      </c>
      <c r="AM22" s="123">
        <f>AN15/AN7</f>
        <v>1.0005427727403897</v>
      </c>
      <c r="AN22" s="124" t="s">
        <v>256</v>
      </c>
      <c r="BG22" s="130" t="s">
        <v>15</v>
      </c>
      <c r="BH22" s="123">
        <f>BK14/BK6</f>
        <v>1.0026125837210513</v>
      </c>
      <c r="BI22" s="123" t="s">
        <v>67</v>
      </c>
      <c r="BJ22" s="123">
        <f>BK15/BK7</f>
        <v>0.99873404453601944</v>
      </c>
      <c r="BK22" s="124" t="s">
        <v>256</v>
      </c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98"/>
      <c r="CC22" s="130" t="s">
        <v>15</v>
      </c>
      <c r="CD22" s="123">
        <f>CG14/CG6</f>
        <v>1.0037271307279505</v>
      </c>
      <c r="CE22" s="123" t="s">
        <v>67</v>
      </c>
      <c r="CF22" s="123">
        <f>CG15/CG7</f>
        <v>1.0033367998048504</v>
      </c>
      <c r="CG22" s="124" t="s">
        <v>256</v>
      </c>
      <c r="CS22" s="130"/>
      <c r="CT22" s="123"/>
      <c r="CU22" s="123"/>
      <c r="CV22" s="123"/>
      <c r="CW22" s="123"/>
      <c r="CX22" s="123"/>
      <c r="CY22" s="124" t="s">
        <v>438</v>
      </c>
      <c r="CZ22" s="123"/>
      <c r="DA22" s="123"/>
      <c r="DB22" s="123"/>
      <c r="DC22" s="123"/>
      <c r="DD22" s="98"/>
      <c r="DE22" s="130"/>
      <c r="DF22" s="123"/>
      <c r="DG22" s="123"/>
      <c r="DH22" s="123"/>
      <c r="DI22" s="123"/>
      <c r="DJ22" s="123"/>
      <c r="DK22" s="124" t="s">
        <v>438</v>
      </c>
      <c r="DL22" s="123"/>
      <c r="DM22" s="123"/>
      <c r="DN22" s="123"/>
      <c r="DO22" s="123"/>
      <c r="DP22" s="98"/>
      <c r="DQ22" s="130"/>
      <c r="DR22" s="123"/>
      <c r="DS22" s="123"/>
      <c r="DT22" s="123"/>
      <c r="DU22" s="123"/>
      <c r="DV22" s="123"/>
      <c r="DW22" s="124" t="s">
        <v>438</v>
      </c>
      <c r="DX22" s="123"/>
      <c r="DY22" s="123"/>
      <c r="DZ22" s="123"/>
      <c r="EA22" s="123"/>
      <c r="EB22" s="98"/>
      <c r="EC22" s="130"/>
      <c r="ED22" s="123"/>
      <c r="EE22" s="123"/>
      <c r="EF22" s="123"/>
      <c r="EG22" s="123"/>
      <c r="EH22" s="123"/>
      <c r="EI22" s="124" t="s">
        <v>438</v>
      </c>
      <c r="EJ22" s="123"/>
      <c r="EK22" s="123"/>
      <c r="EL22" s="123"/>
      <c r="EM22" s="123"/>
      <c r="EN22" s="98"/>
      <c r="EO22" s="130"/>
      <c r="EP22" s="123"/>
      <c r="EQ22" s="123"/>
      <c r="ER22" s="123"/>
      <c r="ES22" s="123"/>
      <c r="ET22" s="123"/>
      <c r="EU22" s="124" t="s">
        <v>438</v>
      </c>
      <c r="EV22" s="123"/>
      <c r="EW22" s="123"/>
      <c r="EX22" s="123"/>
      <c r="EY22" s="123"/>
      <c r="EZ22" s="98"/>
      <c r="FA22" s="130"/>
      <c r="FB22" s="123"/>
      <c r="FC22" s="123"/>
      <c r="FD22" s="123"/>
      <c r="FE22" s="123">
        <f>FE21/FG16</f>
        <v>2.7244249718251227E-2</v>
      </c>
      <c r="FF22" s="123"/>
      <c r="FG22" s="124" t="s">
        <v>438</v>
      </c>
      <c r="FH22" s="123"/>
      <c r="FI22" s="123"/>
      <c r="FJ22" s="123"/>
      <c r="FK22" s="123"/>
      <c r="FL22" s="98"/>
    </row>
    <row r="23" spans="1:168">
      <c r="A23" s="140" t="s">
        <v>170</v>
      </c>
      <c r="B23" s="123">
        <f>VAR(B19:B21)</f>
        <v>4.2083391091209761E-7</v>
      </c>
      <c r="C23" s="124" t="s">
        <v>170</v>
      </c>
      <c r="D23" s="123">
        <f>VAR(D19:D21)</f>
        <v>1.4441853798395429E-7</v>
      </c>
      <c r="E23" s="123">
        <f>VAR(G14:G16)</f>
        <v>1.1114107137342455E-2</v>
      </c>
      <c r="F23" s="124">
        <f>STDEV(G14:G16)/G18</f>
        <v>0.18621393368170722</v>
      </c>
      <c r="G23" s="124" t="s">
        <v>449</v>
      </c>
      <c r="S23" s="130" t="s">
        <v>170</v>
      </c>
      <c r="T23" s="123">
        <f>VAR(T19:T21)</f>
        <v>5.9968462977777878E-7</v>
      </c>
      <c r="U23" s="123" t="s">
        <v>170</v>
      </c>
      <c r="V23" s="123">
        <f>VAR(V19:V21)</f>
        <v>1.5083034481277693E-7</v>
      </c>
      <c r="W23" s="123">
        <f>VAR(Y14:Y16)</f>
        <v>1.0877143199101713E-3</v>
      </c>
      <c r="X23" s="124">
        <f>STDEV(Y14:Y16)/Y18</f>
        <v>5.4368403716224006E-2</v>
      </c>
      <c r="Y23" s="124" t="s">
        <v>449</v>
      </c>
      <c r="AJ23" s="130" t="s">
        <v>170</v>
      </c>
      <c r="AK23" s="123">
        <f>VAR(AK19:AK21)</f>
        <v>5.7609331223462227E-8</v>
      </c>
      <c r="AL23" s="123" t="s">
        <v>170</v>
      </c>
      <c r="AM23" s="123">
        <f>VAR(AM19:AM21)</f>
        <v>6.4617369819649066E-9</v>
      </c>
      <c r="AN23" s="123">
        <f>VAR(AP14:AP16)</f>
        <v>2.0590367125655063E-5</v>
      </c>
      <c r="AO23" s="124">
        <f>STDEV(AP14:AP16)/AP18</f>
        <v>9.0513419106445642E-3</v>
      </c>
      <c r="AP23" s="124" t="s">
        <v>449</v>
      </c>
      <c r="BG23" s="130" t="s">
        <v>170</v>
      </c>
      <c r="BH23" s="123">
        <f>VAR(BH19:BH21)</f>
        <v>2.8513201683908166E-8</v>
      </c>
      <c r="BI23" s="123" t="s">
        <v>170</v>
      </c>
      <c r="BJ23" s="123">
        <f>VAR(BJ19:BJ21)</f>
        <v>3.6201061239870212E-9</v>
      </c>
      <c r="BK23" s="123">
        <f>VAR(BM14:BM16)</f>
        <v>8.1657167915804262E-5</v>
      </c>
      <c r="BL23" s="124">
        <f>STDEV(BM14:BM16)/BM18</f>
        <v>1.8450415999341711E-2</v>
      </c>
      <c r="BM23" s="124" t="s">
        <v>449</v>
      </c>
      <c r="BN23" s="123"/>
      <c r="BO23" s="123"/>
      <c r="BP23" s="123"/>
      <c r="BQ23" s="123"/>
      <c r="BR23" s="123"/>
      <c r="BS23" s="123"/>
      <c r="BT23" s="123"/>
      <c r="BU23" s="123"/>
      <c r="BV23" s="123"/>
      <c r="BW23" s="123"/>
      <c r="BX23" s="123"/>
      <c r="BY23" s="123"/>
      <c r="BZ23" s="123"/>
      <c r="CA23" s="123"/>
      <c r="CB23" s="98"/>
      <c r="CC23" s="130" t="s">
        <v>170</v>
      </c>
      <c r="CD23" s="123">
        <f>VAR(CD19:CD21)</f>
        <v>7.362484536085735E-9</v>
      </c>
      <c r="CE23" s="123" t="s">
        <v>170</v>
      </c>
      <c r="CF23" s="123">
        <f>VAR(CF19:CF21)</f>
        <v>1.6008314151266295E-8</v>
      </c>
      <c r="CG23" s="123">
        <f>VAR(CI14:CI16)</f>
        <v>3.9709101069335751E-5</v>
      </c>
      <c r="CH23" s="124">
        <f>STDEV(CI14:CI16)/CI18</f>
        <v>1.2604827840771302E-2</v>
      </c>
      <c r="CI23" s="124" t="s">
        <v>449</v>
      </c>
      <c r="CS23" s="130"/>
      <c r="CT23" s="123"/>
      <c r="CU23" s="123"/>
      <c r="CV23" s="123" t="s">
        <v>444</v>
      </c>
      <c r="CW23" s="123"/>
      <c r="CX23" s="123"/>
      <c r="CY23" s="123"/>
      <c r="CZ23" s="123"/>
      <c r="DA23" s="123"/>
      <c r="DB23" s="123"/>
      <c r="DC23" s="123"/>
      <c r="DD23" s="98"/>
      <c r="DE23" s="130"/>
      <c r="DF23" s="123"/>
      <c r="DG23" s="123"/>
      <c r="DH23" s="123" t="s">
        <v>444</v>
      </c>
      <c r="DI23" s="123"/>
      <c r="DJ23" s="123"/>
      <c r="DK23" s="123"/>
      <c r="DL23" s="123"/>
      <c r="DM23" s="123"/>
      <c r="DN23" s="123"/>
      <c r="DO23" s="123"/>
      <c r="DP23" s="98"/>
      <c r="DQ23" s="130"/>
      <c r="DR23" s="123"/>
      <c r="DS23" s="123"/>
      <c r="DT23" s="123" t="s">
        <v>444</v>
      </c>
      <c r="DU23" s="123"/>
      <c r="DV23" s="123"/>
      <c r="DW23" s="123"/>
      <c r="DX23" s="123"/>
      <c r="DY23" s="123"/>
      <c r="DZ23" s="123"/>
      <c r="EA23" s="123"/>
      <c r="EB23" s="98"/>
      <c r="EC23" s="130"/>
      <c r="ED23" s="123"/>
      <c r="EE23" s="123"/>
      <c r="EF23" s="123" t="s">
        <v>444</v>
      </c>
      <c r="EG23" s="123"/>
      <c r="EH23" s="123"/>
      <c r="EI23" s="123"/>
      <c r="EJ23" s="123"/>
      <c r="EK23" s="123"/>
      <c r="EL23" s="123"/>
      <c r="EM23" s="123"/>
      <c r="EN23" s="98"/>
      <c r="EO23" s="130"/>
      <c r="EP23" s="123"/>
      <c r="EQ23" s="123"/>
      <c r="ER23" s="123" t="s">
        <v>444</v>
      </c>
      <c r="ES23" s="123"/>
      <c r="ET23" s="123"/>
      <c r="EU23" s="123"/>
      <c r="EV23" s="123"/>
      <c r="EW23" s="123"/>
      <c r="EX23" s="123"/>
      <c r="EY23" s="123"/>
      <c r="EZ23" s="98"/>
      <c r="FA23" s="130"/>
      <c r="FB23" s="123"/>
      <c r="FC23" s="123"/>
      <c r="FD23" s="123" t="s">
        <v>444</v>
      </c>
      <c r="FE23" s="123"/>
      <c r="FF23" s="123"/>
      <c r="FG23" s="123"/>
      <c r="FH23" s="123"/>
      <c r="FI23" s="123"/>
      <c r="FJ23" s="123"/>
      <c r="FK23" s="123"/>
      <c r="FL23" s="98"/>
    </row>
    <row r="24" spans="1:168">
      <c r="A24" s="130"/>
      <c r="G24" s="124" t="s">
        <v>438</v>
      </c>
      <c r="Y24" s="124" t="s">
        <v>438</v>
      </c>
      <c r="AP24" s="124" t="s">
        <v>438</v>
      </c>
      <c r="BG24" s="130"/>
      <c r="BH24" s="123"/>
      <c r="BI24" s="123"/>
      <c r="BJ24" s="123"/>
      <c r="BK24" s="123"/>
      <c r="BL24" s="123"/>
      <c r="BM24" s="124" t="s">
        <v>438</v>
      </c>
      <c r="BN24" s="123"/>
      <c r="BO24" s="123"/>
      <c r="BP24" s="123"/>
      <c r="BQ24" s="123"/>
      <c r="BR24" s="123"/>
      <c r="BS24" s="123"/>
      <c r="BT24" s="123"/>
      <c r="BU24" s="123"/>
      <c r="BV24" s="123"/>
      <c r="BW24" s="123"/>
      <c r="BX24" s="123"/>
      <c r="BY24" s="123"/>
      <c r="BZ24" s="123"/>
      <c r="CA24" s="123"/>
      <c r="CB24" s="98"/>
      <c r="CC24" s="130"/>
      <c r="CI24" s="124" t="s">
        <v>438</v>
      </c>
      <c r="CS24" s="130"/>
      <c r="CT24" s="123">
        <f>CT17</f>
        <v>1</v>
      </c>
      <c r="CU24" s="123"/>
      <c r="CV24" s="123">
        <f>ABS(CU12-CT13)/CU12</f>
        <v>1.5052435952874767E-3</v>
      </c>
      <c r="CW24" s="123" t="s">
        <v>446</v>
      </c>
      <c r="CX24" s="123"/>
      <c r="CY24" s="123"/>
      <c r="CZ24" s="123"/>
      <c r="DA24" s="123"/>
      <c r="DB24" s="123"/>
      <c r="DC24" s="123"/>
      <c r="DD24" s="98"/>
      <c r="DE24" s="130"/>
      <c r="DF24" s="123">
        <f>DF17</f>
        <v>0.99737987605066969</v>
      </c>
      <c r="DG24" s="123"/>
      <c r="DH24" s="123">
        <f>ABS(DG12-DF13)/DG12</f>
        <v>3.0179144807257032E-3</v>
      </c>
      <c r="DI24" s="123" t="s">
        <v>446</v>
      </c>
      <c r="DJ24" s="123"/>
      <c r="DK24" s="123"/>
      <c r="DL24" s="123"/>
      <c r="DM24" s="123"/>
      <c r="DN24" s="123"/>
      <c r="DO24" s="123"/>
      <c r="DP24" s="98"/>
      <c r="DQ24" s="130"/>
      <c r="DR24" s="123">
        <f>DR17</f>
        <v>0.99849992296901735</v>
      </c>
      <c r="DS24" s="123"/>
      <c r="DT24" s="123">
        <f>ABS(DS12-DR13)/DS12</f>
        <v>2.7182771454184644E-3</v>
      </c>
      <c r="DU24" s="123" t="s">
        <v>446</v>
      </c>
      <c r="DV24" s="123"/>
      <c r="DW24" s="123"/>
      <c r="DX24" s="123"/>
      <c r="DY24" s="123"/>
      <c r="DZ24" s="123"/>
      <c r="EA24" s="123"/>
      <c r="EB24" s="98"/>
      <c r="EC24" s="130"/>
      <c r="ED24" s="123">
        <f>ED17</f>
        <v>0.99543806360298237</v>
      </c>
      <c r="EE24" s="123"/>
      <c r="EF24" s="123">
        <f>ABS(EE12-ED13)/EE12</f>
        <v>4.9920398192032141E-3</v>
      </c>
      <c r="EG24" s="123" t="s">
        <v>446</v>
      </c>
      <c r="EH24" s="123"/>
      <c r="EI24" s="123"/>
      <c r="EJ24" s="123"/>
      <c r="EK24" s="123"/>
      <c r="EL24" s="123"/>
      <c r="EM24" s="123"/>
      <c r="EN24" s="98"/>
      <c r="EO24" s="130"/>
      <c r="EP24" s="123">
        <f>EP17</f>
        <v>1.0021276909032011</v>
      </c>
      <c r="EQ24" s="123"/>
      <c r="ER24" s="123">
        <f>ABS(EQ12-EP13)/EQ12</f>
        <v>3.4479741531560893E-3</v>
      </c>
      <c r="ES24" s="123" t="s">
        <v>446</v>
      </c>
      <c r="ET24" s="123"/>
      <c r="EU24" s="123"/>
      <c r="EV24" s="123"/>
      <c r="EW24" s="123"/>
      <c r="EX24" s="123"/>
      <c r="EY24" s="123"/>
      <c r="EZ24" s="98"/>
      <c r="FA24" s="130"/>
      <c r="FB24" s="123">
        <f>FB17</f>
        <v>0.98117954031885535</v>
      </c>
      <c r="FC24" s="123"/>
      <c r="FD24" s="123">
        <f>ABS(FC12-FB13)/FC12</f>
        <v>4.095981402576726E-2</v>
      </c>
      <c r="FE24" s="123" t="s">
        <v>446</v>
      </c>
      <c r="FF24" s="123"/>
      <c r="FG24" s="123"/>
      <c r="FH24" s="123"/>
      <c r="FI24" s="123"/>
      <c r="FJ24" s="123"/>
      <c r="FK24" s="123"/>
      <c r="FL24" s="98"/>
    </row>
    <row r="25" spans="1:168">
      <c r="A25" s="130"/>
      <c r="D25" s="123" t="s">
        <v>444</v>
      </c>
      <c r="V25" s="123" t="s">
        <v>444</v>
      </c>
      <c r="AM25" s="123" t="s">
        <v>444</v>
      </c>
      <c r="BG25" s="130"/>
      <c r="BH25" s="123"/>
      <c r="BI25" s="123"/>
      <c r="BJ25" s="123" t="s">
        <v>444</v>
      </c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98"/>
      <c r="CC25" s="130"/>
      <c r="CF25" s="123" t="s">
        <v>444</v>
      </c>
      <c r="CS25" s="130"/>
      <c r="CT25" s="123">
        <f t="shared" ref="CT25:CT26" si="117">CT18</f>
        <v>1</v>
      </c>
      <c r="CU25" s="123"/>
      <c r="CV25" s="123">
        <f>ABS((CU4-CT5)/CU4)</f>
        <v>1.5052435952874767E-3</v>
      </c>
      <c r="CW25" s="123" t="s">
        <v>445</v>
      </c>
      <c r="CX25" s="123"/>
      <c r="CY25" s="123"/>
      <c r="CZ25" s="123"/>
      <c r="DA25" s="123"/>
      <c r="DB25" s="123"/>
      <c r="DC25" s="123"/>
      <c r="DD25" s="98"/>
      <c r="DE25" s="130"/>
      <c r="DF25" s="123">
        <f t="shared" ref="DF25:DF26" si="118">DF18</f>
        <v>0.99708705494235528</v>
      </c>
      <c r="DG25" s="123"/>
      <c r="DH25" s="123">
        <f>ABS((DG4-DF5)/DG4)</f>
        <v>2.1013185774073229E-3</v>
      </c>
      <c r="DI25" s="123" t="s">
        <v>445</v>
      </c>
      <c r="DJ25" s="123"/>
      <c r="DK25" s="123"/>
      <c r="DL25" s="123"/>
      <c r="DM25" s="123"/>
      <c r="DN25" s="123"/>
      <c r="DO25" s="123"/>
      <c r="DP25" s="98"/>
      <c r="DQ25" s="130"/>
      <c r="DR25" s="123">
        <f t="shared" ref="DR25:DR26" si="119">DR18</f>
        <v>0.99802052536785946</v>
      </c>
      <c r="DS25" s="123"/>
      <c r="DT25" s="123">
        <f>ABS((DS4-DR5)/DS4)</f>
        <v>4.8544920537493983E-3</v>
      </c>
      <c r="DU25" s="123" t="s">
        <v>445</v>
      </c>
      <c r="DV25" s="123"/>
      <c r="DW25" s="123"/>
      <c r="DX25" s="123"/>
      <c r="DY25" s="123"/>
      <c r="DZ25" s="123"/>
      <c r="EA25" s="123"/>
      <c r="EB25" s="98"/>
      <c r="EC25" s="130"/>
      <c r="ED25" s="123">
        <f t="shared" ref="ED25:ED26" si="120">ED18</f>
        <v>0.99545972150517559</v>
      </c>
      <c r="EE25" s="123"/>
      <c r="EF25" s="123">
        <f>ABS((EE4-ED5)/EE4)</f>
        <v>2.1337620343813016E-3</v>
      </c>
      <c r="EG25" s="123" t="s">
        <v>445</v>
      </c>
      <c r="EH25" s="123"/>
      <c r="EI25" s="123"/>
      <c r="EJ25" s="123"/>
      <c r="EK25" s="123"/>
      <c r="EL25" s="123"/>
      <c r="EM25" s="123"/>
      <c r="EN25" s="98"/>
      <c r="EO25" s="130"/>
      <c r="EP25" s="123">
        <f t="shared" ref="EP25:EP26" si="121">EP18</f>
        <v>1.0021019315440216</v>
      </c>
      <c r="EQ25" s="123"/>
      <c r="ER25" s="123">
        <f>ABS((EQ4-EP5)/EQ4)</f>
        <v>4.0258316071646628E-3</v>
      </c>
      <c r="ES25" s="123" t="s">
        <v>445</v>
      </c>
      <c r="ET25" s="123"/>
      <c r="EU25" s="123"/>
      <c r="EV25" s="123"/>
      <c r="EW25" s="123"/>
      <c r="EX25" s="123"/>
      <c r="EY25" s="123"/>
      <c r="EZ25" s="98"/>
      <c r="FA25" s="130"/>
      <c r="FB25" s="123">
        <f t="shared" ref="FB25:FB26" si="122">FB18</f>
        <v>0.98119605700726742</v>
      </c>
      <c r="FC25" s="123"/>
      <c r="FD25" s="123">
        <f>ABS((FC4-FB5)/FC4)</f>
        <v>7.4068507693685018E-2</v>
      </c>
      <c r="FE25" s="123" t="s">
        <v>445</v>
      </c>
      <c r="FF25" s="123"/>
      <c r="FG25" s="123"/>
      <c r="FH25" s="123"/>
      <c r="FI25" s="123"/>
      <c r="FJ25" s="123"/>
      <c r="FK25" s="123"/>
      <c r="FL25" s="98"/>
    </row>
    <row r="26" spans="1:168">
      <c r="A26" s="130"/>
      <c r="B26" s="123">
        <f>B19</f>
        <v>0.98440036489534399</v>
      </c>
      <c r="D26" s="123">
        <f>ABS(C14-B15)/C14</f>
        <v>2.335113957182728E-2</v>
      </c>
      <c r="E26" s="123" t="s">
        <v>446</v>
      </c>
      <c r="T26" s="123">
        <f>T19</f>
        <v>0.99378369678924927</v>
      </c>
      <c r="V26" s="123">
        <f>ABS(U14-T15)/U14</f>
        <v>1.7503853549238009E-2</v>
      </c>
      <c r="W26" s="123" t="s">
        <v>446</v>
      </c>
      <c r="AK26" s="123">
        <f>AK19</f>
        <v>1.0007967028757909</v>
      </c>
      <c r="AM26" s="123">
        <f>ABS(AL14-AK15)/AL14</f>
        <v>1.5519100431299079E-3</v>
      </c>
      <c r="AN26" s="123" t="s">
        <v>446</v>
      </c>
      <c r="BG26" s="130"/>
      <c r="BH26" s="123">
        <f>BH19</f>
        <v>1.0023850978189648</v>
      </c>
      <c r="BI26" s="123"/>
      <c r="BJ26" s="123">
        <f>ABS(BI14-BH15)/BI14</f>
        <v>1.7169047938964883E-4</v>
      </c>
      <c r="BK26" s="123" t="s">
        <v>446</v>
      </c>
      <c r="BL26" s="123"/>
      <c r="BM26" s="123"/>
      <c r="BN26" s="123"/>
      <c r="BO26" s="123"/>
      <c r="BP26" s="123"/>
      <c r="BQ26" s="123"/>
      <c r="BR26" s="123"/>
      <c r="BS26" s="123"/>
      <c r="BT26" s="123"/>
      <c r="BU26" s="123"/>
      <c r="BV26" s="123"/>
      <c r="BW26" s="123"/>
      <c r="BX26" s="123"/>
      <c r="BY26" s="123"/>
      <c r="BZ26" s="123"/>
      <c r="CA26" s="123"/>
      <c r="CB26" s="98"/>
      <c r="CC26" s="130"/>
      <c r="CD26" s="123">
        <f>CD19</f>
        <v>1.0038493526757786</v>
      </c>
      <c r="CF26" s="123">
        <f>ABS(CE14-CD15)/CE14</f>
        <v>1.0405854170283474E-2</v>
      </c>
      <c r="CG26" s="123" t="s">
        <v>446</v>
      </c>
      <c r="CS26" s="130"/>
      <c r="CT26" s="123">
        <f t="shared" si="117"/>
        <v>1</v>
      </c>
      <c r="CU26" s="123"/>
      <c r="CV26" s="123"/>
      <c r="CW26" s="123"/>
      <c r="CX26" s="123"/>
      <c r="CY26" s="123"/>
      <c r="CZ26" s="123"/>
      <c r="DA26" s="123"/>
      <c r="DB26" s="123"/>
      <c r="DC26" s="123"/>
      <c r="DD26" s="98"/>
      <c r="DE26" s="130"/>
      <c r="DF26" s="123">
        <f t="shared" si="118"/>
        <v>0.99713219423687127</v>
      </c>
      <c r="DG26" s="123"/>
      <c r="DH26" s="123"/>
      <c r="DI26" s="123"/>
      <c r="DJ26" s="123"/>
      <c r="DK26" s="123"/>
      <c r="DL26" s="123"/>
      <c r="DM26" s="123"/>
      <c r="DN26" s="123"/>
      <c r="DO26" s="123"/>
      <c r="DP26" s="98"/>
      <c r="DQ26" s="130"/>
      <c r="DR26" s="123">
        <f t="shared" si="119"/>
        <v>0.99827018896305353</v>
      </c>
      <c r="DS26" s="123"/>
      <c r="DT26" s="123"/>
      <c r="DU26" s="123"/>
      <c r="DV26" s="123"/>
      <c r="DW26" s="123"/>
      <c r="DX26" s="123"/>
      <c r="DY26" s="123"/>
      <c r="DZ26" s="123"/>
      <c r="EA26" s="123"/>
      <c r="EB26" s="98"/>
      <c r="EC26" s="130"/>
      <c r="ED26" s="123">
        <f t="shared" si="120"/>
        <v>0.99539963574115131</v>
      </c>
      <c r="EE26" s="123"/>
      <c r="EF26" s="123"/>
      <c r="EG26" s="123"/>
      <c r="EH26" s="123"/>
      <c r="EI26" s="123"/>
      <c r="EJ26" s="123"/>
      <c r="EK26" s="123"/>
      <c r="EL26" s="123"/>
      <c r="EM26" s="123"/>
      <c r="EN26" s="98"/>
      <c r="EO26" s="130"/>
      <c r="EP26" s="123">
        <f t="shared" si="121"/>
        <v>1.0022334993741007</v>
      </c>
      <c r="EQ26" s="123"/>
      <c r="ER26" s="123"/>
      <c r="ES26" s="123"/>
      <c r="ET26" s="123"/>
      <c r="EU26" s="123"/>
      <c r="EV26" s="123"/>
      <c r="EW26" s="123"/>
      <c r="EX26" s="123"/>
      <c r="EY26" s="123"/>
      <c r="EZ26" s="98"/>
      <c r="FA26" s="130"/>
      <c r="FB26" s="123">
        <f t="shared" si="122"/>
        <v>0.98117029197255612</v>
      </c>
      <c r="FC26" s="123"/>
      <c r="FD26" s="123"/>
      <c r="FE26" s="123"/>
      <c r="FF26" s="123"/>
      <c r="FG26" s="123"/>
      <c r="FH26" s="123"/>
      <c r="FI26" s="123"/>
      <c r="FJ26" s="123"/>
      <c r="FK26" s="123"/>
      <c r="FL26" s="98"/>
    </row>
    <row r="27" spans="1:168">
      <c r="A27" s="130"/>
      <c r="B27" s="123">
        <f t="shared" ref="B27:B28" si="123">B20</f>
        <v>0.98525308888003194</v>
      </c>
      <c r="D27" s="123">
        <f>ABS((C6-B7)/C6)</f>
        <v>1.2965725244644191E-2</v>
      </c>
      <c r="E27" s="123" t="s">
        <v>445</v>
      </c>
      <c r="T27" s="123">
        <f t="shared" ref="T27:T28" si="124">T20</f>
        <v>0.9938434830133176</v>
      </c>
      <c r="V27" s="123">
        <f>ABS((U6-T7)/U6)</f>
        <v>1.8150109295223364E-2</v>
      </c>
      <c r="W27" s="123" t="s">
        <v>445</v>
      </c>
      <c r="AK27" s="123">
        <f t="shared" ref="AK27:AK28" si="125">AK20</f>
        <v>1.0003692492316925</v>
      </c>
      <c r="AM27" s="123">
        <f>ABS((AL6-AK7)/AL6)</f>
        <v>1.7106991905002464E-3</v>
      </c>
      <c r="AN27" s="123" t="s">
        <v>445</v>
      </c>
      <c r="BG27" s="130"/>
      <c r="BH27" s="123">
        <f t="shared" ref="BH27:BH28" si="126">BH20</f>
        <v>1.0026987876042925</v>
      </c>
      <c r="BI27" s="123"/>
      <c r="BJ27" s="123">
        <f>ABS((BI6-BH7)/BI6)</f>
        <v>4.0689882702046667E-3</v>
      </c>
      <c r="BK27" s="123" t="s">
        <v>445</v>
      </c>
      <c r="BL27" s="123"/>
      <c r="BM27" s="123"/>
      <c r="BN27" s="123"/>
      <c r="BO27" s="123"/>
      <c r="BP27" s="123"/>
      <c r="BQ27" s="123"/>
      <c r="BR27" s="123"/>
      <c r="BS27" s="123"/>
      <c r="BT27" s="123"/>
      <c r="BU27" s="123"/>
      <c r="BV27" s="123"/>
      <c r="BW27" s="123"/>
      <c r="BX27" s="123"/>
      <c r="BY27" s="123"/>
      <c r="BZ27" s="123"/>
      <c r="CA27" s="123"/>
      <c r="CB27" s="98"/>
      <c r="CC27" s="130"/>
      <c r="CD27" s="123">
        <f t="shared" ref="CD27:CD28" si="127">CD20</f>
        <v>1.0037208824435995</v>
      </c>
      <c r="CF27" s="123">
        <f>ABS((CE6-CD7)/CE6)</f>
        <v>1.0182786013218769E-2</v>
      </c>
      <c r="CG27" s="123" t="s">
        <v>445</v>
      </c>
      <c r="CS27" s="130"/>
      <c r="CT27" s="123">
        <f>CV17</f>
        <v>1</v>
      </c>
      <c r="CU27" s="123"/>
      <c r="CV27" s="123"/>
      <c r="CW27" s="123"/>
      <c r="CX27" s="123"/>
      <c r="CY27" s="123"/>
      <c r="CZ27" s="123"/>
      <c r="DA27" s="123"/>
      <c r="DB27" s="123"/>
      <c r="DC27" s="123"/>
      <c r="DD27" s="98"/>
      <c r="DE27" s="130"/>
      <c r="DF27" s="123">
        <f>DH17</f>
        <v>0.99800374735146302</v>
      </c>
      <c r="DG27" s="123"/>
      <c r="DH27" s="123"/>
      <c r="DI27" s="123"/>
      <c r="DJ27" s="123"/>
      <c r="DK27" s="123"/>
      <c r="DL27" s="123"/>
      <c r="DM27" s="123"/>
      <c r="DN27" s="123"/>
      <c r="DO27" s="123"/>
      <c r="DP27" s="98"/>
      <c r="DQ27" s="130"/>
      <c r="DR27" s="123">
        <f>DT17</f>
        <v>0.99588272791679555</v>
      </c>
      <c r="DS27" s="123"/>
      <c r="DT27" s="123"/>
      <c r="DU27" s="123"/>
      <c r="DV27" s="123"/>
      <c r="DW27" s="123"/>
      <c r="DX27" s="123"/>
      <c r="DY27" s="123"/>
      <c r="DZ27" s="123"/>
      <c r="EA27" s="123"/>
      <c r="EB27" s="98"/>
      <c r="EC27" s="130"/>
      <c r="ED27" s="123">
        <f>EF17</f>
        <v>0.99831929702771338</v>
      </c>
      <c r="EE27" s="123"/>
      <c r="EF27" s="123"/>
      <c r="EG27" s="123"/>
      <c r="EH27" s="123"/>
      <c r="EI27" s="123"/>
      <c r="EJ27" s="123"/>
      <c r="EK27" s="123"/>
      <c r="EL27" s="123"/>
      <c r="EM27" s="123"/>
      <c r="EN27" s="98"/>
      <c r="EO27" s="130"/>
      <c r="EP27" s="123">
        <f>ER17</f>
        <v>1.0026790138499655</v>
      </c>
      <c r="EQ27" s="123"/>
      <c r="ER27" s="123"/>
      <c r="ES27" s="123"/>
      <c r="ET27" s="123"/>
      <c r="EU27" s="123"/>
      <c r="EV27" s="123"/>
      <c r="EW27" s="123"/>
      <c r="EX27" s="123"/>
      <c r="EY27" s="123"/>
      <c r="EZ27" s="98"/>
      <c r="FA27" s="130"/>
      <c r="FB27" s="123">
        <f>FD17</f>
        <v>1.012403908878116</v>
      </c>
      <c r="FC27" s="123"/>
      <c r="FD27" s="123"/>
      <c r="FE27" s="123"/>
      <c r="FF27" s="123"/>
      <c r="FG27" s="123"/>
      <c r="FH27" s="123"/>
      <c r="FI27" s="123"/>
      <c r="FJ27" s="123"/>
      <c r="FK27" s="123"/>
      <c r="FL27" s="98"/>
    </row>
    <row r="28" spans="1:168">
      <c r="A28" s="130"/>
      <c r="B28" s="123">
        <f t="shared" si="123"/>
        <v>0.98567357285195167</v>
      </c>
      <c r="T28" s="123">
        <f t="shared" si="124"/>
        <v>0.99247330146408341</v>
      </c>
      <c r="AK28" s="123">
        <f t="shared" si="125"/>
        <v>1.0007721599068597</v>
      </c>
      <c r="BG28" s="130"/>
      <c r="BH28" s="123">
        <f t="shared" si="126"/>
        <v>1.00265028773453</v>
      </c>
      <c r="BI28" s="123"/>
      <c r="BJ28" s="123"/>
      <c r="BK28" s="123"/>
      <c r="BL28" s="123"/>
      <c r="BM28" s="123"/>
      <c r="BN28" s="123"/>
      <c r="BO28" s="123"/>
      <c r="BP28" s="123"/>
      <c r="BQ28" s="123"/>
      <c r="BR28" s="123"/>
      <c r="BS28" s="123"/>
      <c r="BT28" s="123"/>
      <c r="BU28" s="123"/>
      <c r="BV28" s="123"/>
      <c r="BW28" s="123"/>
      <c r="BX28" s="123"/>
      <c r="BY28" s="123"/>
      <c r="BZ28" s="123"/>
      <c r="CA28" s="123"/>
      <c r="CB28" s="98"/>
      <c r="CC28" s="130"/>
      <c r="CD28" s="123">
        <f t="shared" si="127"/>
        <v>1.003686583285494</v>
      </c>
      <c r="CS28" s="130"/>
      <c r="CT28" s="123">
        <f t="shared" ref="CT28:CT29" si="128">CV18</f>
        <v>1</v>
      </c>
      <c r="CU28" s="123"/>
      <c r="CV28" s="123"/>
      <c r="CW28" s="123"/>
      <c r="CX28" s="123"/>
      <c r="CY28" s="123"/>
      <c r="CZ28" s="123"/>
      <c r="DA28" s="123"/>
      <c r="DB28" s="123"/>
      <c r="DC28" s="123"/>
      <c r="DD28" s="98"/>
      <c r="DE28" s="130"/>
      <c r="DF28" s="123">
        <f t="shared" ref="DF28:DF29" si="129">DH18</f>
        <v>0.99800589462559575</v>
      </c>
      <c r="DG28" s="123"/>
      <c r="DH28" s="123"/>
      <c r="DI28" s="123"/>
      <c r="DJ28" s="123"/>
      <c r="DK28" s="123"/>
      <c r="DL28" s="123"/>
      <c r="DM28" s="123"/>
      <c r="DN28" s="123"/>
      <c r="DO28" s="123"/>
      <c r="DP28" s="98"/>
      <c r="DQ28" s="130"/>
      <c r="DR28" s="123">
        <f t="shared" ref="DR28:DR29" si="130">DT18</f>
        <v>0.99588584593864427</v>
      </c>
      <c r="DS28" s="123"/>
      <c r="DT28" s="123"/>
      <c r="DU28" s="123"/>
      <c r="DV28" s="123"/>
      <c r="DW28" s="123"/>
      <c r="DX28" s="123"/>
      <c r="DY28" s="123"/>
      <c r="DZ28" s="123"/>
      <c r="EA28" s="123"/>
      <c r="EB28" s="98"/>
      <c r="EC28" s="130"/>
      <c r="ED28" s="123">
        <f t="shared" ref="ED28:ED29" si="131">EF18</f>
        <v>0.9983212239803344</v>
      </c>
      <c r="EE28" s="123"/>
      <c r="EF28" s="123"/>
      <c r="EG28" s="123"/>
      <c r="EH28" s="123"/>
      <c r="EI28" s="123"/>
      <c r="EJ28" s="123"/>
      <c r="EK28" s="123"/>
      <c r="EL28" s="123"/>
      <c r="EM28" s="123"/>
      <c r="EN28" s="98"/>
      <c r="EO28" s="130"/>
      <c r="EP28" s="123">
        <f t="shared" ref="EP28:EP29" si="132">ER18</f>
        <v>1.002681119727852</v>
      </c>
      <c r="EQ28" s="123"/>
      <c r="ER28" s="123"/>
      <c r="ES28" s="123"/>
      <c r="ET28" s="123"/>
      <c r="EU28" s="123"/>
      <c r="EV28" s="123"/>
      <c r="EW28" s="123"/>
      <c r="EX28" s="123"/>
      <c r="EY28" s="123"/>
      <c r="EZ28" s="98"/>
      <c r="FA28" s="130"/>
      <c r="FB28" s="123">
        <f t="shared" ref="FB28:FB29" si="133">FD18</f>
        <v>1.0124041872259266</v>
      </c>
      <c r="FC28" s="123"/>
      <c r="FD28" s="123"/>
      <c r="FE28" s="123"/>
      <c r="FF28" s="123"/>
      <c r="FG28" s="123"/>
      <c r="FH28" s="123"/>
      <c r="FI28" s="123"/>
      <c r="FJ28" s="123"/>
      <c r="FK28" s="123"/>
      <c r="FL28" s="98"/>
    </row>
    <row r="29" spans="1:168">
      <c r="A29" s="130"/>
      <c r="B29" s="123">
        <f>D19</f>
        <v>0.9957299981969282</v>
      </c>
      <c r="T29" s="123">
        <f>V19</f>
        <v>0.9931897633383574</v>
      </c>
      <c r="AK29" s="123">
        <f>AM19</f>
        <v>1.0005278508763482</v>
      </c>
      <c r="BG29" s="130"/>
      <c r="BH29" s="123">
        <f>BJ19</f>
        <v>0.99879030078453379</v>
      </c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98"/>
      <c r="CC29" s="130"/>
      <c r="CD29" s="123">
        <f>CF19</f>
        <v>1.0034992901334105</v>
      </c>
      <c r="CS29" s="130"/>
      <c r="CT29" s="123">
        <f t="shared" si="128"/>
        <v>1</v>
      </c>
      <c r="CU29" s="123"/>
      <c r="CV29" s="123"/>
      <c r="CW29" s="123"/>
      <c r="CX29" s="123"/>
      <c r="CY29" s="123"/>
      <c r="CZ29" s="123"/>
      <c r="DA29" s="123"/>
      <c r="DB29" s="123"/>
      <c r="DC29" s="123"/>
      <c r="DD29" s="98"/>
      <c r="DE29" s="130"/>
      <c r="DF29" s="123">
        <f t="shared" si="129"/>
        <v>0.99800459365448724</v>
      </c>
      <c r="DG29" s="123"/>
      <c r="DH29" s="123"/>
      <c r="DI29" s="123"/>
      <c r="DJ29" s="123"/>
      <c r="DK29" s="123"/>
      <c r="DL29" s="123"/>
      <c r="DM29" s="123"/>
      <c r="DN29" s="123"/>
      <c r="DO29" s="123"/>
      <c r="DP29" s="98"/>
      <c r="DQ29" s="130"/>
      <c r="DR29" s="123">
        <f t="shared" si="130"/>
        <v>0.99588362531312347</v>
      </c>
      <c r="DS29" s="123"/>
      <c r="DT29" s="123"/>
      <c r="DU29" s="123"/>
      <c r="DV29" s="123"/>
      <c r="DW29" s="123"/>
      <c r="DX29" s="123"/>
      <c r="DY29" s="123"/>
      <c r="DZ29" s="123"/>
      <c r="EA29" s="123"/>
      <c r="EB29" s="98"/>
      <c r="EC29" s="130"/>
      <c r="ED29" s="123">
        <f t="shared" si="131"/>
        <v>0.99831943844855708</v>
      </c>
      <c r="EE29" s="123"/>
      <c r="EF29" s="123"/>
      <c r="EG29" s="123"/>
      <c r="EH29" s="123"/>
      <c r="EI29" s="123"/>
      <c r="EJ29" s="123"/>
      <c r="EK29" s="123"/>
      <c r="EL29" s="123"/>
      <c r="EM29" s="123"/>
      <c r="EN29" s="98"/>
      <c r="EO29" s="130"/>
      <c r="EP29" s="123">
        <f t="shared" si="132"/>
        <v>1.0026795058734506</v>
      </c>
      <c r="EQ29" s="123"/>
      <c r="ER29" s="123"/>
      <c r="ES29" s="123"/>
      <c r="ET29" s="123"/>
      <c r="EU29" s="123"/>
      <c r="EV29" s="123"/>
      <c r="EW29" s="123"/>
      <c r="EX29" s="123"/>
      <c r="EY29" s="123"/>
      <c r="EZ29" s="98"/>
      <c r="FA29" s="130"/>
      <c r="FB29" s="123">
        <f t="shared" si="133"/>
        <v>1.0124038981574677</v>
      </c>
      <c r="FC29" s="123"/>
      <c r="FD29" s="123"/>
      <c r="FE29" s="123"/>
      <c r="FF29" s="123"/>
      <c r="FG29" s="123"/>
      <c r="FH29" s="123"/>
      <c r="FI29" s="123"/>
      <c r="FJ29" s="123"/>
      <c r="FK29" s="123"/>
      <c r="FL29" s="98"/>
    </row>
    <row r="30" spans="1:168" ht="15.75" thickBot="1">
      <c r="A30" s="130"/>
      <c r="B30" s="123">
        <f t="shared" ref="B30:B31" si="134">D20</f>
        <v>0.99560740367416722</v>
      </c>
      <c r="T30" s="123">
        <f t="shared" ref="T30:T31" si="135">V20</f>
        <v>0.99325473275646869</v>
      </c>
      <c r="AK30" s="123">
        <f t="shared" ref="AK30:AK31" si="136">AM20</f>
        <v>1.0005708604848043</v>
      </c>
      <c r="BG30" s="130"/>
      <c r="BH30" s="123">
        <f t="shared" ref="BH30:BH31" si="137">BJ20</f>
        <v>0.99875145962453982</v>
      </c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123"/>
      <c r="CA30" s="123"/>
      <c r="CB30" s="98"/>
      <c r="CC30" s="130"/>
      <c r="CD30" s="123">
        <f t="shared" ref="CD30:CD31" si="138">CF20</f>
        <v>1.003249018833233</v>
      </c>
      <c r="CS30" s="131" t="s">
        <v>170</v>
      </c>
      <c r="CT30" s="126">
        <f>VAR(CT24:CT29)</f>
        <v>0</v>
      </c>
      <c r="CU30" s="126"/>
      <c r="CV30" s="126"/>
      <c r="CW30" s="126"/>
      <c r="CX30" s="126"/>
      <c r="CY30" s="126"/>
      <c r="CZ30" s="126"/>
      <c r="DA30" s="126"/>
      <c r="DB30" s="126"/>
      <c r="DC30" s="126"/>
      <c r="DD30" s="127"/>
      <c r="DE30" s="131" t="s">
        <v>170</v>
      </c>
      <c r="DF30" s="126">
        <f>VAR(DF24:DF29)</f>
        <v>2.0436761225930939E-7</v>
      </c>
      <c r="DG30" s="126"/>
      <c r="DH30" s="126"/>
      <c r="DI30" s="126"/>
      <c r="DJ30" s="126"/>
      <c r="DK30" s="126"/>
      <c r="DL30" s="126"/>
      <c r="DM30" s="126"/>
      <c r="DN30" s="126"/>
      <c r="DO30" s="126"/>
      <c r="DP30" s="127"/>
      <c r="DQ30" s="131" t="s">
        <v>170</v>
      </c>
      <c r="DR30" s="126">
        <f>VAR(DR24:DR29)</f>
        <v>1.7215731080328702E-6</v>
      </c>
      <c r="DS30" s="126"/>
      <c r="DT30" s="126"/>
      <c r="DU30" s="126"/>
      <c r="DV30" s="126"/>
      <c r="DW30" s="126"/>
      <c r="DX30" s="126"/>
      <c r="DY30" s="126"/>
      <c r="DZ30" s="126"/>
      <c r="EA30" s="126"/>
      <c r="EB30" s="127"/>
      <c r="EC30" s="131" t="s">
        <v>170</v>
      </c>
      <c r="ED30" s="126">
        <f>VAR(ED24:ED29)</f>
        <v>2.5016900364696052E-6</v>
      </c>
      <c r="EE30" s="126"/>
      <c r="EF30" s="126"/>
      <c r="EG30" s="126"/>
      <c r="EH30" s="126"/>
      <c r="EI30" s="126"/>
      <c r="EJ30" s="126"/>
      <c r="EK30" s="126"/>
      <c r="EL30" s="126"/>
      <c r="EM30" s="126"/>
      <c r="EN30" s="127"/>
      <c r="EO30" s="131" t="s">
        <v>170</v>
      </c>
      <c r="EP30" s="126">
        <f>VAR(EP24:EP29)</f>
        <v>8.4792018073947176E-8</v>
      </c>
      <c r="EQ30" s="126"/>
      <c r="ER30" s="126"/>
      <c r="ES30" s="126"/>
      <c r="ET30" s="126"/>
      <c r="EU30" s="126"/>
      <c r="EV30" s="126"/>
      <c r="EW30" s="126"/>
      <c r="EX30" s="126"/>
      <c r="EY30" s="126"/>
      <c r="EZ30" s="127"/>
      <c r="FA30" s="131" t="s">
        <v>170</v>
      </c>
      <c r="FB30" s="126">
        <f>VAR(FB24:FB29)</f>
        <v>2.9244470878567674E-4</v>
      </c>
      <c r="FC30" s="126"/>
      <c r="FD30" s="126"/>
      <c r="FE30" s="126"/>
      <c r="FF30" s="126"/>
      <c r="FG30" s="126"/>
      <c r="FH30" s="126"/>
      <c r="FI30" s="126"/>
      <c r="FJ30" s="126"/>
      <c r="FK30" s="126"/>
      <c r="FL30" s="127"/>
    </row>
    <row r="31" spans="1:168" ht="15.75" thickTop="1">
      <c r="A31" s="130"/>
      <c r="B31" s="123">
        <f t="shared" si="134"/>
        <v>0.99501909832533619</v>
      </c>
      <c r="T31" s="123">
        <f t="shared" si="135"/>
        <v>0.99389256533457715</v>
      </c>
      <c r="AK31" s="123">
        <f t="shared" si="136"/>
        <v>1.0004151996477963</v>
      </c>
      <c r="BG31" s="130"/>
      <c r="BH31" s="123">
        <f t="shared" si="137"/>
        <v>0.99867224531421039</v>
      </c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123"/>
      <c r="BY31" s="123"/>
      <c r="BZ31" s="123"/>
      <c r="CA31" s="123"/>
      <c r="CB31" s="98"/>
      <c r="CC31" s="130"/>
      <c r="CD31" s="123">
        <f t="shared" si="138"/>
        <v>1.0033417793434087</v>
      </c>
      <c r="EC31" s="128"/>
      <c r="ED31" s="121"/>
      <c r="EE31" s="121"/>
      <c r="EF31" s="121"/>
      <c r="EG31" s="121"/>
      <c r="EH31" s="133" t="s">
        <v>239</v>
      </c>
      <c r="EI31" s="121"/>
      <c r="EJ31" s="121"/>
      <c r="EK31" s="129" t="s">
        <v>425</v>
      </c>
      <c r="EL31" s="121"/>
      <c r="EM31" s="121"/>
      <c r="EN31" s="122"/>
      <c r="EO31" s="128"/>
      <c r="EP31" s="121"/>
      <c r="EQ31" s="121"/>
      <c r="ER31" s="121"/>
      <c r="ES31" s="121"/>
      <c r="ET31" s="133" t="s">
        <v>239</v>
      </c>
      <c r="EU31" s="121"/>
      <c r="EV31" s="121"/>
      <c r="EW31" s="129" t="s">
        <v>427</v>
      </c>
      <c r="EX31" s="121"/>
      <c r="EY31" s="121"/>
      <c r="EZ31" s="122"/>
      <c r="FA31" s="128"/>
      <c r="FB31" s="121"/>
      <c r="FC31" s="121"/>
      <c r="FD31" s="121"/>
      <c r="FE31" s="121"/>
      <c r="FF31" s="133" t="s">
        <v>239</v>
      </c>
      <c r="FG31" s="121"/>
      <c r="FH31" s="121"/>
      <c r="FI31" s="129" t="s">
        <v>456</v>
      </c>
      <c r="FJ31" s="121"/>
      <c r="FK31" s="121"/>
      <c r="FL31" s="122"/>
    </row>
    <row r="32" spans="1:168" ht="15.75" thickBot="1">
      <c r="A32" s="141" t="s">
        <v>170</v>
      </c>
      <c r="B32" s="126">
        <f>VAR(B26:B31)</f>
        <v>3.2320375312082576E-5</v>
      </c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7"/>
      <c r="S32" s="131" t="s">
        <v>170</v>
      </c>
      <c r="T32" s="126">
        <f>VAR(T26:T31)</f>
        <v>3.020716622831629E-7</v>
      </c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7"/>
      <c r="AJ32" s="131" t="s">
        <v>170</v>
      </c>
      <c r="AK32" s="126">
        <f>VAR(AK26:AK31)</f>
        <v>3.1626643714755608E-8</v>
      </c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7"/>
      <c r="BG32" s="131" t="s">
        <v>170</v>
      </c>
      <c r="BH32" s="126">
        <f>VAR(BH26:BH31)</f>
        <v>4.4366619137562061E-6</v>
      </c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6"/>
      <c r="BX32" s="126"/>
      <c r="BY32" s="126"/>
      <c r="BZ32" s="126"/>
      <c r="CA32" s="126"/>
      <c r="CB32" s="127"/>
      <c r="CC32" s="131" t="s">
        <v>170</v>
      </c>
      <c r="CD32" s="126">
        <f>VAR(CD26:CD31)</f>
        <v>5.4723623280207972E-8</v>
      </c>
      <c r="CE32" s="126"/>
      <c r="CF32" s="126"/>
      <c r="CG32" s="126"/>
      <c r="CH32" s="126"/>
      <c r="CI32" s="126"/>
      <c r="CJ32" s="126"/>
      <c r="CK32" s="126"/>
      <c r="CL32" s="126"/>
      <c r="CM32" s="126"/>
      <c r="CN32" s="126"/>
      <c r="CO32" s="126"/>
      <c r="CP32" s="126"/>
      <c r="CQ32" s="126"/>
      <c r="CR32" s="127"/>
      <c r="EC32" s="130" t="s">
        <v>167</v>
      </c>
      <c r="ED32" s="123"/>
      <c r="EE32" s="123"/>
      <c r="EF32" s="123"/>
      <c r="EG32" s="123"/>
      <c r="EH32" s="123"/>
      <c r="EI32" s="123"/>
      <c r="EJ32" s="123" t="s">
        <v>168</v>
      </c>
      <c r="EK32" s="123"/>
      <c r="EL32" s="123"/>
      <c r="EM32" s="123"/>
      <c r="EN32" s="98"/>
      <c r="EO32" s="130" t="s">
        <v>167</v>
      </c>
      <c r="EP32" s="123"/>
      <c r="EQ32" s="123"/>
      <c r="ER32" s="123"/>
      <c r="ES32" s="123"/>
      <c r="ET32" s="123"/>
      <c r="EU32" s="123"/>
      <c r="EV32" s="123" t="s">
        <v>168</v>
      </c>
      <c r="EW32" s="123"/>
      <c r="EX32" s="123"/>
      <c r="EY32" s="123"/>
      <c r="EZ32" s="98"/>
      <c r="FA32" s="130" t="s">
        <v>167</v>
      </c>
      <c r="FB32" s="123"/>
      <c r="FC32" s="123"/>
      <c r="FD32" s="123"/>
      <c r="FE32" s="123"/>
      <c r="FF32" s="123"/>
      <c r="FG32" s="123"/>
      <c r="FH32" s="123" t="s">
        <v>168</v>
      </c>
      <c r="FI32" s="123"/>
      <c r="FJ32" s="123"/>
      <c r="FK32" s="123"/>
      <c r="FL32" s="98"/>
    </row>
    <row r="33" spans="1:168" ht="15.75" thickTop="1">
      <c r="A33" s="128"/>
      <c r="B33" s="121"/>
      <c r="C33" s="121"/>
      <c r="D33" s="121"/>
      <c r="E33" s="121"/>
      <c r="F33" s="133" t="s">
        <v>239</v>
      </c>
      <c r="G33" s="121"/>
      <c r="H33" s="121"/>
      <c r="I33" s="124" t="s">
        <v>173</v>
      </c>
      <c r="J33" s="121"/>
      <c r="K33" s="121"/>
      <c r="L33" s="122"/>
      <c r="S33" s="128"/>
      <c r="T33" s="121"/>
      <c r="U33" s="121"/>
      <c r="V33" s="121"/>
      <c r="W33" s="121"/>
      <c r="X33" s="133" t="s">
        <v>239</v>
      </c>
      <c r="Y33" s="121"/>
      <c r="Z33" s="121"/>
      <c r="AA33" s="124" t="s">
        <v>199</v>
      </c>
      <c r="AB33" s="121"/>
      <c r="AC33" s="121"/>
      <c r="AD33" s="122"/>
      <c r="AJ33" s="128"/>
      <c r="AK33" s="121"/>
      <c r="AL33" s="121"/>
      <c r="AM33" s="121"/>
      <c r="AN33" s="121"/>
      <c r="AO33" s="133" t="s">
        <v>239</v>
      </c>
      <c r="AP33" s="121"/>
      <c r="AQ33" s="121"/>
      <c r="AR33" s="124" t="s">
        <v>204</v>
      </c>
      <c r="AS33" s="121"/>
      <c r="AT33" s="121"/>
      <c r="AU33" s="121"/>
      <c r="AV33" s="122"/>
      <c r="BG33" s="128"/>
      <c r="BH33" s="121"/>
      <c r="BI33" s="121"/>
      <c r="BJ33" s="121"/>
      <c r="BK33" s="121"/>
      <c r="BL33" s="133" t="s">
        <v>239</v>
      </c>
      <c r="BM33" s="121"/>
      <c r="BN33" s="121"/>
      <c r="BO33" s="124" t="s">
        <v>192</v>
      </c>
      <c r="BP33" s="121"/>
      <c r="BQ33" s="121"/>
      <c r="BR33" s="121"/>
      <c r="BS33" s="122"/>
      <c r="CC33" s="128"/>
      <c r="CD33" s="121"/>
      <c r="CE33" s="121"/>
      <c r="CF33" s="121"/>
      <c r="CG33" s="121"/>
      <c r="CH33" s="133" t="s">
        <v>239</v>
      </c>
      <c r="CI33" s="121"/>
      <c r="CJ33" s="121"/>
      <c r="CK33" s="124" t="s">
        <v>176</v>
      </c>
      <c r="CL33" s="121"/>
      <c r="CM33" s="121"/>
      <c r="CN33" s="121"/>
      <c r="CO33" s="122"/>
      <c r="EC33" s="1"/>
      <c r="ED33" s="2" t="s">
        <v>0</v>
      </c>
      <c r="EE33" s="2" t="s">
        <v>1</v>
      </c>
      <c r="EF33" s="2" t="s">
        <v>2</v>
      </c>
      <c r="EG33" s="3" t="s">
        <v>6</v>
      </c>
      <c r="EH33" s="103" t="s">
        <v>70</v>
      </c>
      <c r="EI33" s="103" t="s">
        <v>172</v>
      </c>
      <c r="EJ33" s="123" t="s">
        <v>3</v>
      </c>
      <c r="EK33" s="123">
        <v>150</v>
      </c>
      <c r="EL33" s="123"/>
      <c r="EM33" s="123" t="s">
        <v>19</v>
      </c>
      <c r="EN33" s="123">
        <v>5.9929800000000002E-3</v>
      </c>
      <c r="EO33" s="1"/>
      <c r="EP33" s="2" t="s">
        <v>0</v>
      </c>
      <c r="EQ33" s="2" t="s">
        <v>1</v>
      </c>
      <c r="ER33" s="2" t="s">
        <v>2</v>
      </c>
      <c r="ES33" s="3" t="s">
        <v>6</v>
      </c>
      <c r="ET33" s="103" t="s">
        <v>70</v>
      </c>
      <c r="EU33" s="103" t="s">
        <v>172</v>
      </c>
      <c r="EV33" s="123" t="s">
        <v>3</v>
      </c>
      <c r="EW33" s="123">
        <v>250</v>
      </c>
      <c r="EX33" s="123"/>
      <c r="EY33" s="123" t="s">
        <v>19</v>
      </c>
      <c r="EZ33" s="123">
        <v>0.20844099999999999</v>
      </c>
      <c r="FA33" s="1"/>
      <c r="FB33" s="2" t="s">
        <v>0</v>
      </c>
      <c r="FC33" s="2" t="s">
        <v>1</v>
      </c>
      <c r="FD33" s="2" t="s">
        <v>2</v>
      </c>
      <c r="FE33" s="3" t="s">
        <v>6</v>
      </c>
      <c r="FF33" s="103" t="s">
        <v>70</v>
      </c>
      <c r="FG33" s="103" t="s">
        <v>172</v>
      </c>
      <c r="FH33" s="123" t="s">
        <v>3</v>
      </c>
      <c r="FI33" s="123">
        <v>1000</v>
      </c>
      <c r="FJ33" s="123"/>
      <c r="FK33" s="123" t="s">
        <v>19</v>
      </c>
      <c r="FL33" s="123">
        <v>0.27494299999999999</v>
      </c>
    </row>
    <row r="34" spans="1:168" ht="15.75" thickBot="1">
      <c r="A34" s="130" t="s">
        <v>167</v>
      </c>
      <c r="H34" s="123" t="s">
        <v>168</v>
      </c>
      <c r="L34" s="98"/>
      <c r="O34" s="123" t="s">
        <v>70</v>
      </c>
      <c r="P34" s="123" t="s">
        <v>16</v>
      </c>
      <c r="S34" s="130" t="s">
        <v>167</v>
      </c>
      <c r="Z34" s="123" t="s">
        <v>168</v>
      </c>
      <c r="AD34" s="98"/>
      <c r="AG34" s="123" t="s">
        <v>70</v>
      </c>
      <c r="AH34" s="123" t="s">
        <v>16</v>
      </c>
      <c r="AJ34" s="130" t="s">
        <v>167</v>
      </c>
      <c r="AQ34" s="123" t="s">
        <v>168</v>
      </c>
      <c r="AV34" s="98"/>
      <c r="AX34" s="123" t="s">
        <v>70</v>
      </c>
      <c r="AY34" s="123" t="s">
        <v>16</v>
      </c>
      <c r="BG34" s="130" t="s">
        <v>167</v>
      </c>
      <c r="BH34" s="123"/>
      <c r="BI34" s="123"/>
      <c r="BJ34" s="123"/>
      <c r="BK34" s="123"/>
      <c r="BL34" s="123"/>
      <c r="BM34" s="123"/>
      <c r="BN34" s="123" t="s">
        <v>168</v>
      </c>
      <c r="BO34" s="123"/>
      <c r="BP34" s="123"/>
      <c r="BQ34" s="123"/>
      <c r="BR34" s="123"/>
      <c r="BS34" s="98"/>
      <c r="BU34" t="s">
        <v>70</v>
      </c>
      <c r="BV34" t="s">
        <v>16</v>
      </c>
      <c r="CC34" s="130" t="s">
        <v>167</v>
      </c>
      <c r="CJ34" s="123" t="s">
        <v>168</v>
      </c>
      <c r="CO34" s="98"/>
      <c r="CQ34" s="123" t="s">
        <v>70</v>
      </c>
      <c r="CR34" s="98" t="s">
        <v>16</v>
      </c>
      <c r="EC34" s="4" t="s">
        <v>3</v>
      </c>
      <c r="ED34" s="100">
        <f>1.65676*10^8</f>
        <v>165676000</v>
      </c>
      <c r="EE34" s="5">
        <f>2.62024*10^6</f>
        <v>2620240</v>
      </c>
      <c r="EF34" s="5">
        <f>1.01808*10^6</f>
        <v>1018080.0000000001</v>
      </c>
      <c r="EG34" s="104">
        <f>SUM(ED34:EF34)</f>
        <v>169314320</v>
      </c>
      <c r="EH34" s="123">
        <f>EF34/EE34</f>
        <v>0.38854456080359057</v>
      </c>
      <c r="EI34" s="123">
        <f>ED34/EE34</f>
        <v>63.229322504808721</v>
      </c>
      <c r="EJ34" s="123" t="s">
        <v>4</v>
      </c>
      <c r="EK34" s="123">
        <v>200</v>
      </c>
      <c r="EL34" s="123"/>
      <c r="EM34" s="123"/>
      <c r="EN34" s="98"/>
      <c r="EO34" s="4" t="s">
        <v>3</v>
      </c>
      <c r="EP34" s="100">
        <v>4451.68</v>
      </c>
      <c r="EQ34" s="5">
        <v>17388.5</v>
      </c>
      <c r="ER34" s="5">
        <v>5404.58</v>
      </c>
      <c r="ES34" s="104">
        <f>SUM(EP34:ER34)</f>
        <v>27244.760000000002</v>
      </c>
      <c r="ET34" s="123">
        <f>ER34/EQ34</f>
        <v>0.3108134686718233</v>
      </c>
      <c r="EU34" s="123">
        <f>EP34/EQ34</f>
        <v>0.25601288207723499</v>
      </c>
      <c r="EV34" s="123" t="s">
        <v>4</v>
      </c>
      <c r="EW34" s="123">
        <v>300</v>
      </c>
      <c r="EX34" s="123"/>
      <c r="EY34" s="123"/>
      <c r="EZ34" s="98"/>
      <c r="FA34" s="4" t="s">
        <v>3</v>
      </c>
      <c r="FB34" s="100">
        <v>37699.300000000003</v>
      </c>
      <c r="FC34" s="5">
        <v>107554</v>
      </c>
      <c r="FD34" s="5">
        <v>47970</v>
      </c>
      <c r="FE34" s="104">
        <f>SUM(FB34:FD34)</f>
        <v>193223.3</v>
      </c>
      <c r="FF34" s="123">
        <f>FD34/FC34</f>
        <v>0.44600851665210034</v>
      </c>
      <c r="FG34" s="123">
        <f>FB34/FC34</f>
        <v>0.35051509009427823</v>
      </c>
      <c r="FH34" s="123" t="s">
        <v>4</v>
      </c>
      <c r="FI34" s="123">
        <v>1600</v>
      </c>
      <c r="FJ34" s="123"/>
      <c r="FK34" s="123"/>
      <c r="FL34" s="98"/>
    </row>
    <row r="35" spans="1:168" ht="15.75" thickTop="1">
      <c r="A35" s="1"/>
      <c r="B35" s="2" t="s">
        <v>0</v>
      </c>
      <c r="C35" s="2" t="s">
        <v>1</v>
      </c>
      <c r="D35" s="2" t="s">
        <v>2</v>
      </c>
      <c r="E35" s="3" t="s">
        <v>6</v>
      </c>
      <c r="F35" s="103" t="s">
        <v>70</v>
      </c>
      <c r="G35" s="103" t="s">
        <v>172</v>
      </c>
      <c r="H35" s="123" t="s">
        <v>3</v>
      </c>
      <c r="I35" s="123">
        <v>6</v>
      </c>
      <c r="K35" s="123" t="s">
        <v>19</v>
      </c>
      <c r="L35" s="98">
        <v>0.120867</v>
      </c>
      <c r="O35" s="123">
        <f>F9</f>
        <v>0.21077750741565332</v>
      </c>
      <c r="P35" s="123">
        <f>L5</f>
        <v>0.13652600000000001</v>
      </c>
      <c r="S35" s="1"/>
      <c r="T35" s="2" t="s">
        <v>0</v>
      </c>
      <c r="U35" s="2" t="s">
        <v>1</v>
      </c>
      <c r="V35" s="2" t="s">
        <v>2</v>
      </c>
      <c r="W35" s="3" t="s">
        <v>6</v>
      </c>
      <c r="X35" s="103" t="s">
        <v>70</v>
      </c>
      <c r="Y35" s="103" t="s">
        <v>172</v>
      </c>
      <c r="Z35" s="123" t="s">
        <v>3</v>
      </c>
      <c r="AA35" s="123">
        <v>12</v>
      </c>
      <c r="AC35" s="123" t="s">
        <v>19</v>
      </c>
      <c r="AD35" s="98">
        <v>0.26251200000000002</v>
      </c>
      <c r="AG35" s="123">
        <f>X9</f>
        <v>0.36630875928927431</v>
      </c>
      <c r="AH35" s="123">
        <f>AD5</f>
        <v>0.23080200000000001</v>
      </c>
      <c r="AJ35" s="1"/>
      <c r="AK35" s="2" t="s">
        <v>0</v>
      </c>
      <c r="AL35" s="2" t="s">
        <v>1</v>
      </c>
      <c r="AM35" s="2" t="s">
        <v>2</v>
      </c>
      <c r="AN35" s="3" t="s">
        <v>6</v>
      </c>
      <c r="AO35" s="103" t="s">
        <v>70</v>
      </c>
      <c r="AP35" s="103" t="s">
        <v>172</v>
      </c>
      <c r="AQ35" s="123" t="s">
        <v>3</v>
      </c>
      <c r="AR35" s="123">
        <v>20</v>
      </c>
      <c r="AT35" s="123" t="s">
        <v>19</v>
      </c>
      <c r="AU35" s="123">
        <v>0.10509</v>
      </c>
      <c r="AV35" s="98"/>
      <c r="AX35" s="123">
        <f>AO9</f>
        <v>0.16188226966433245</v>
      </c>
      <c r="AY35" s="123">
        <f>AU5</f>
        <v>0.10761999999999999</v>
      </c>
      <c r="BA35" s="123" t="s">
        <v>231</v>
      </c>
      <c r="BG35" s="1"/>
      <c r="BH35" s="2" t="s">
        <v>0</v>
      </c>
      <c r="BI35" s="2" t="s">
        <v>1</v>
      </c>
      <c r="BJ35" s="2" t="s">
        <v>2</v>
      </c>
      <c r="BK35" s="3" t="s">
        <v>6</v>
      </c>
      <c r="BL35" s="103" t="s">
        <v>70</v>
      </c>
      <c r="BM35" s="103" t="s">
        <v>172</v>
      </c>
      <c r="BN35" s="123" t="s">
        <v>3</v>
      </c>
      <c r="BO35" s="123">
        <v>30</v>
      </c>
      <c r="BP35" s="123"/>
      <c r="BQ35" s="123" t="s">
        <v>19</v>
      </c>
      <c r="BR35" s="123">
        <v>0.48242299999999999</v>
      </c>
      <c r="BS35" s="98"/>
      <c r="BU35">
        <f>BL9</f>
        <v>0.72243763313638421</v>
      </c>
      <c r="BV35">
        <f>BR5</f>
        <v>0.48769621353161285</v>
      </c>
      <c r="CC35" s="1"/>
      <c r="CD35" s="2" t="s">
        <v>0</v>
      </c>
      <c r="CE35" s="2" t="s">
        <v>1</v>
      </c>
      <c r="CF35" s="2" t="s">
        <v>2</v>
      </c>
      <c r="CG35" s="3" t="s">
        <v>6</v>
      </c>
      <c r="CH35" s="103" t="s">
        <v>70</v>
      </c>
      <c r="CI35" s="103" t="s">
        <v>172</v>
      </c>
      <c r="CJ35" s="123" t="s">
        <v>3</v>
      </c>
      <c r="CK35" s="123">
        <v>50</v>
      </c>
      <c r="CM35" s="123" t="s">
        <v>19</v>
      </c>
      <c r="CN35" s="123">
        <v>0.90891299999999997</v>
      </c>
      <c r="CO35" s="98"/>
      <c r="CQ35" s="123">
        <f>CH9</f>
        <v>1.372637984824558</v>
      </c>
      <c r="CR35" s="98">
        <f>CN5</f>
        <v>0.91309043206897933</v>
      </c>
      <c r="EC35" s="4" t="s">
        <v>4</v>
      </c>
      <c r="ED35" s="5">
        <f>2.6224*10^6</f>
        <v>2622400</v>
      </c>
      <c r="EE35" s="5">
        <v>16405.400000000001</v>
      </c>
      <c r="EF35" s="5">
        <v>6374.23</v>
      </c>
      <c r="EG35" s="106">
        <f t="shared" ref="EG35:EG37" si="139">SUM(ED35:EF35)</f>
        <v>2645179.63</v>
      </c>
      <c r="EH35" s="123">
        <f t="shared" ref="EH35:EH37" si="140">EF35/EE35</f>
        <v>0.3885446255501237</v>
      </c>
      <c r="EI35" s="123">
        <f t="shared" ref="EI35:EI37" si="141">ED35/EE35</f>
        <v>159.84980555183049</v>
      </c>
      <c r="EJ35" s="123" t="s">
        <v>5</v>
      </c>
      <c r="EK35" s="123">
        <v>85</v>
      </c>
      <c r="EL35" s="123"/>
      <c r="EM35" s="123"/>
      <c r="EN35" s="98"/>
      <c r="EO35" s="4" t="s">
        <v>4</v>
      </c>
      <c r="EP35" s="5">
        <v>18239.3</v>
      </c>
      <c r="EQ35" s="5">
        <v>28745.9</v>
      </c>
      <c r="ER35" s="5">
        <v>8934.6299999999992</v>
      </c>
      <c r="ES35" s="106">
        <f t="shared" ref="ES35:ES37" si="142">SUM(EP35:ER35)</f>
        <v>55919.829999999994</v>
      </c>
      <c r="ET35" s="123">
        <f t="shared" ref="ET35:ET37" si="143">ER35/EQ35</f>
        <v>0.31081406391868055</v>
      </c>
      <c r="EU35" s="123">
        <f t="shared" ref="EU35:EU37" si="144">EP35/EQ35</f>
        <v>0.63450092013121862</v>
      </c>
      <c r="EV35" s="123" t="s">
        <v>5</v>
      </c>
      <c r="EW35" s="123">
        <v>100</v>
      </c>
      <c r="EX35" s="123"/>
      <c r="EY35" s="123"/>
      <c r="EZ35" s="98"/>
      <c r="FA35" s="4" t="s">
        <v>4</v>
      </c>
      <c r="FB35" s="5">
        <v>113732</v>
      </c>
      <c r="FC35" s="5">
        <v>135878</v>
      </c>
      <c r="FD35" s="5">
        <v>60602.6</v>
      </c>
      <c r="FE35" s="106">
        <f t="shared" ref="FE35:FE37" si="145">SUM(FB35:FD35)</f>
        <v>310212.59999999998</v>
      </c>
      <c r="FF35" s="123">
        <f t="shared" ref="FF35:FF37" si="146">FD35/FC35</f>
        <v>0.44600744785763696</v>
      </c>
      <c r="FG35" s="123">
        <f t="shared" ref="FG35:FG37" si="147">FB35/FC35</f>
        <v>0.83701555807415473</v>
      </c>
      <c r="FH35" s="123" t="s">
        <v>5</v>
      </c>
      <c r="FI35" s="123">
        <v>800</v>
      </c>
      <c r="FJ35" s="123"/>
      <c r="FK35" s="123"/>
      <c r="FL35" s="98"/>
    </row>
    <row r="36" spans="1:168">
      <c r="A36" s="4" t="s">
        <v>3</v>
      </c>
      <c r="B36" s="100">
        <v>432.68599999999998</v>
      </c>
      <c r="C36" s="5">
        <v>770.34699999999998</v>
      </c>
      <c r="D36" s="5">
        <v>139.702</v>
      </c>
      <c r="E36" s="104">
        <f>SUM(B36:D36)</f>
        <v>1342.7349999999999</v>
      </c>
      <c r="F36" s="123">
        <f>D36/C36</f>
        <v>0.1813494438220698</v>
      </c>
      <c r="G36" s="123">
        <f>B36/C36</f>
        <v>0.56167675086681712</v>
      </c>
      <c r="H36" s="123" t="s">
        <v>4</v>
      </c>
      <c r="I36" s="123">
        <v>12</v>
      </c>
      <c r="L36" s="98"/>
      <c r="O36" s="123">
        <f>F39</f>
        <v>0.18134957871028806</v>
      </c>
      <c r="P36" s="123">
        <f>L35</f>
        <v>0.120867</v>
      </c>
      <c r="S36" s="4" t="s">
        <v>3</v>
      </c>
      <c r="T36" s="100">
        <v>465.02</v>
      </c>
      <c r="U36" s="5">
        <v>816.78599999999994</v>
      </c>
      <c r="V36" s="5">
        <v>342.916</v>
      </c>
      <c r="W36" s="104">
        <f>SUM(T36:V36)</f>
        <v>1624.722</v>
      </c>
      <c r="X36" s="123">
        <f>V36/U36</f>
        <v>0.41983579542254645</v>
      </c>
      <c r="Y36" s="123">
        <f>T36/U36</f>
        <v>0.56932905314243876</v>
      </c>
      <c r="Z36" s="123" t="s">
        <v>4</v>
      </c>
      <c r="AA36" s="123">
        <v>20</v>
      </c>
      <c r="AD36" s="98"/>
      <c r="AG36" s="123">
        <f>X39</f>
        <v>0.41983516635168094</v>
      </c>
      <c r="AH36" s="123">
        <f>AD35</f>
        <v>0.26251200000000002</v>
      </c>
      <c r="AJ36" s="4" t="s">
        <v>3</v>
      </c>
      <c r="AK36" s="100">
        <v>1889.1</v>
      </c>
      <c r="AL36" s="5">
        <v>3735.73</v>
      </c>
      <c r="AM36" s="5">
        <v>596.17200000000003</v>
      </c>
      <c r="AN36" s="104">
        <f>SUM(AK36:AM36)</f>
        <v>6221.0020000000004</v>
      </c>
      <c r="AO36" s="123">
        <f>AM36/AL36</f>
        <v>0.15958647975094561</v>
      </c>
      <c r="AP36" s="123">
        <f>AK36/AL36</f>
        <v>0.50568429731270725</v>
      </c>
      <c r="AQ36" s="123" t="s">
        <v>4</v>
      </c>
      <c r="AR36" s="123">
        <v>40</v>
      </c>
      <c r="AV36" s="98"/>
      <c r="AX36" s="123">
        <f>AO39</f>
        <v>0.15958685771338141</v>
      </c>
      <c r="AY36" s="123">
        <f>AU35</f>
        <v>0.10509</v>
      </c>
      <c r="BA36" s="123" t="s">
        <v>232</v>
      </c>
      <c r="BG36" s="4" t="s">
        <v>3</v>
      </c>
      <c r="BH36" s="100">
        <v>294.10599999999999</v>
      </c>
      <c r="BI36" s="5">
        <v>569.08500000000004</v>
      </c>
      <c r="BJ36" s="5">
        <v>412.28500000000003</v>
      </c>
      <c r="BK36" s="104">
        <f>SUM(BH36:BJ36)</f>
        <v>1275.4760000000001</v>
      </c>
      <c r="BL36" s="123">
        <f>BJ36/BI36</f>
        <v>0.72446998251579287</v>
      </c>
      <c r="BM36" s="123">
        <f>BH36/BI36</f>
        <v>0.51680504669776917</v>
      </c>
      <c r="BN36" s="123" t="s">
        <v>4</v>
      </c>
      <c r="BO36" s="123">
        <v>60</v>
      </c>
      <c r="BP36" s="123"/>
      <c r="BQ36" s="123"/>
      <c r="BR36" s="123"/>
      <c r="BS36" s="98"/>
      <c r="BU36">
        <f>BL39</f>
        <v>0.72446941189076619</v>
      </c>
      <c r="BV36">
        <f>BR35</f>
        <v>0.48242299999999999</v>
      </c>
      <c r="CC36" s="4" t="s">
        <v>3</v>
      </c>
      <c r="CD36" s="100">
        <v>156.18799999999999</v>
      </c>
      <c r="CE36" s="5">
        <v>312.48200000000003</v>
      </c>
      <c r="CF36" s="5">
        <v>427.58499999999998</v>
      </c>
      <c r="CG36" s="104">
        <f>SUM(CD36:CF36)</f>
        <v>896.255</v>
      </c>
      <c r="CH36" s="123">
        <f>CF36/CE36</f>
        <v>1.3683508170070595</v>
      </c>
      <c r="CI36" s="123">
        <f>CD36/CE36</f>
        <v>0.49983039023047721</v>
      </c>
      <c r="CJ36" s="123" t="s">
        <v>4</v>
      </c>
      <c r="CK36" s="123">
        <v>100</v>
      </c>
      <c r="CO36" s="98"/>
      <c r="CQ36" s="123">
        <f>CH39</f>
        <v>1.3683526761546407</v>
      </c>
      <c r="CR36" s="98">
        <f>CN35</f>
        <v>0.90891299999999997</v>
      </c>
      <c r="EC36" s="4" t="s">
        <v>5</v>
      </c>
      <c r="ED36" s="5">
        <f>1.01592*10^6</f>
        <v>1015919.9999999999</v>
      </c>
      <c r="EE36" s="5">
        <v>8529.7800000000007</v>
      </c>
      <c r="EF36" s="5">
        <v>3314.2</v>
      </c>
      <c r="EG36" s="108">
        <f t="shared" si="139"/>
        <v>1027763.9799999999</v>
      </c>
      <c r="EH36" s="123">
        <f t="shared" si="140"/>
        <v>0.38854460490188486</v>
      </c>
      <c r="EI36" s="123">
        <f t="shared" si="141"/>
        <v>119.10272011704872</v>
      </c>
      <c r="EJ36" s="123"/>
      <c r="EK36" s="123"/>
      <c r="EL36" s="123"/>
      <c r="EM36" s="123"/>
      <c r="EN36" s="98"/>
      <c r="EO36" s="4" t="s">
        <v>5</v>
      </c>
      <c r="EP36" s="5">
        <v>4553.7299999999996</v>
      </c>
      <c r="EQ36" s="5">
        <v>9785.49</v>
      </c>
      <c r="ER36" s="5">
        <v>3041.47</v>
      </c>
      <c r="ES36" s="108">
        <f t="shared" si="142"/>
        <v>17380.689999999999</v>
      </c>
      <c r="ET36" s="123">
        <f t="shared" si="143"/>
        <v>0.31081427705715298</v>
      </c>
      <c r="EU36" s="123">
        <f t="shared" si="144"/>
        <v>0.46535533734130835</v>
      </c>
      <c r="EV36" s="123"/>
      <c r="EW36" s="123"/>
      <c r="EX36" s="123"/>
      <c r="EY36" s="123"/>
      <c r="EZ36" s="98"/>
      <c r="FA36" s="4" t="s">
        <v>5</v>
      </c>
      <c r="FB36" s="5">
        <v>41792.199999999997</v>
      </c>
      <c r="FC36" s="5">
        <v>66780.399999999994</v>
      </c>
      <c r="FD36" s="5">
        <v>29784.6</v>
      </c>
      <c r="FE36" s="108">
        <f t="shared" si="145"/>
        <v>138357.19999999998</v>
      </c>
      <c r="FF36" s="123">
        <f t="shared" si="146"/>
        <v>0.44600811016406011</v>
      </c>
      <c r="FG36" s="123">
        <f t="shared" si="147"/>
        <v>0.62581535899755014</v>
      </c>
      <c r="FH36" s="85" t="s">
        <v>49</v>
      </c>
      <c r="FI36" s="124">
        <f>FI33+FI34+FI35</f>
        <v>3400</v>
      </c>
      <c r="FJ36" s="123" t="s">
        <v>457</v>
      </c>
      <c r="FK36" s="123"/>
      <c r="FL36" s="98"/>
    </row>
    <row r="37" spans="1:168" ht="15.75" thickBot="1">
      <c r="A37" s="4" t="s">
        <v>4</v>
      </c>
      <c r="B37" s="5">
        <v>766.62</v>
      </c>
      <c r="C37" s="5">
        <v>1625.27</v>
      </c>
      <c r="D37" s="5">
        <v>294.74200000000002</v>
      </c>
      <c r="E37" s="106">
        <f t="shared" ref="E37:E39" si="148">SUM(B37:D37)</f>
        <v>2686.6320000000001</v>
      </c>
      <c r="F37" s="123">
        <f t="shared" ref="F37:F39" si="149">D37/C37</f>
        <v>0.18134956038073674</v>
      </c>
      <c r="G37" s="123">
        <f t="shared" ref="G37:G39" si="150">B37/C37</f>
        <v>0.4716877811071391</v>
      </c>
      <c r="H37" s="123" t="s">
        <v>5</v>
      </c>
      <c r="I37" s="123">
        <v>4</v>
      </c>
      <c r="L37" s="98"/>
      <c r="O37" s="123">
        <f>F69</f>
        <v>0.15303480030970265</v>
      </c>
      <c r="P37" s="123">
        <f>L65</f>
        <v>0.10675999999999999</v>
      </c>
      <c r="S37" s="4" t="s">
        <v>4</v>
      </c>
      <c r="T37" s="5">
        <v>837.66700000000003</v>
      </c>
      <c r="U37" s="5">
        <v>1349.38</v>
      </c>
      <c r="V37" s="5">
        <v>566.51700000000005</v>
      </c>
      <c r="W37" s="106">
        <f t="shared" ref="W37:W39" si="151">SUM(T37:V37)</f>
        <v>2753.5640000000003</v>
      </c>
      <c r="X37" s="123">
        <f t="shared" ref="X37:X39" si="152">V37/U37</f>
        <v>0.41983503534956795</v>
      </c>
      <c r="Y37" s="123">
        <f t="shared" ref="Y37:Y39" si="153">T37/U37</f>
        <v>0.62077917265707205</v>
      </c>
      <c r="Z37" s="123" t="s">
        <v>5</v>
      </c>
      <c r="AA37" s="123">
        <v>8</v>
      </c>
      <c r="AD37" s="98"/>
      <c r="AG37" s="123">
        <f>X69</f>
        <v>0.35342484624616488</v>
      </c>
      <c r="AH37" s="123">
        <f>AD65</f>
        <v>0.22032299999999999</v>
      </c>
      <c r="AJ37" s="4" t="s">
        <v>4</v>
      </c>
      <c r="AK37" s="5">
        <v>3726.29</v>
      </c>
      <c r="AL37" s="5">
        <v>7090.99</v>
      </c>
      <c r="AM37" s="5">
        <v>1131.6300000000001</v>
      </c>
      <c r="AN37" s="106">
        <f t="shared" ref="AN37:AN39" si="154">SUM(AK37:AM37)</f>
        <v>11948.91</v>
      </c>
      <c r="AO37" s="123">
        <f t="shared" ref="AO37:AO39" si="155">AM37/AL37</f>
        <v>0.15958702522496862</v>
      </c>
      <c r="AP37" s="123">
        <f t="shared" ref="AP37:AP39" si="156">AK37/AL37</f>
        <v>0.52549643984831451</v>
      </c>
      <c r="AQ37" s="123" t="s">
        <v>5</v>
      </c>
      <c r="AR37" s="123">
        <v>15</v>
      </c>
      <c r="AV37" s="98"/>
      <c r="AX37" s="123">
        <f>AO69</f>
        <v>0.15800586106792514</v>
      </c>
      <c r="AY37" s="123">
        <f>AU65</f>
        <v>0.10700900000000001</v>
      </c>
      <c r="BA37" s="123" t="s">
        <v>233</v>
      </c>
      <c r="BG37" s="4" t="s">
        <v>4</v>
      </c>
      <c r="BH37" s="5">
        <v>559.27</v>
      </c>
      <c r="BI37" s="5">
        <v>1131.48</v>
      </c>
      <c r="BJ37" s="5">
        <v>819.72199999999998</v>
      </c>
      <c r="BK37" s="106">
        <f t="shared" ref="BK37:BK39" si="157">SUM(BH37:BJ37)</f>
        <v>2510.4719999999998</v>
      </c>
      <c r="BL37" s="123">
        <f t="shared" ref="BL37:BL39" si="158">BJ37/BI37</f>
        <v>0.72446883727507327</v>
      </c>
      <c r="BM37" s="123">
        <f t="shared" ref="BM37:BM39" si="159">BH37/BI37</f>
        <v>0.49428182557358502</v>
      </c>
      <c r="BN37" s="123" t="s">
        <v>5</v>
      </c>
      <c r="BO37" s="123">
        <v>25</v>
      </c>
      <c r="BP37" s="123"/>
      <c r="BQ37" s="123"/>
      <c r="BR37" s="123"/>
      <c r="BS37" s="98"/>
      <c r="BU37">
        <f>BL69</f>
        <v>0.72834845489845823</v>
      </c>
      <c r="BV37">
        <f>BR65</f>
        <v>0.48247499999999999</v>
      </c>
      <c r="CC37" s="4" t="s">
        <v>4</v>
      </c>
      <c r="CD37" s="5">
        <v>315.82900000000001</v>
      </c>
      <c r="CE37" s="5">
        <v>621.63800000000003</v>
      </c>
      <c r="CF37" s="5">
        <v>850.62</v>
      </c>
      <c r="CG37" s="106">
        <f t="shared" ref="CG37:CG39" si="160">SUM(CD37:CF37)</f>
        <v>1788.087</v>
      </c>
      <c r="CH37" s="123">
        <f t="shared" ref="CH37:CH39" si="161">CF37/CE37</f>
        <v>1.3683526425347228</v>
      </c>
      <c r="CI37" s="123">
        <f t="shared" ref="CI37:CI39" si="162">CD37/CE37</f>
        <v>0.50805935287096349</v>
      </c>
      <c r="CJ37" s="123" t="s">
        <v>5</v>
      </c>
      <c r="CK37" s="123">
        <v>40</v>
      </c>
      <c r="CO37" s="98"/>
      <c r="EC37" s="7"/>
      <c r="ED37" s="105">
        <f>SUM(ED34:ED36)</f>
        <v>169314320</v>
      </c>
      <c r="EE37" s="107">
        <f>SUM(EE34:EE36)</f>
        <v>2645175.1799999997</v>
      </c>
      <c r="EF37" s="109">
        <f>SUM(EF34:EF36)</f>
        <v>1027768.43</v>
      </c>
      <c r="EG37" s="101">
        <f t="shared" si="139"/>
        <v>172987263.61000001</v>
      </c>
      <c r="EH37" s="123">
        <f t="shared" si="140"/>
        <v>0.38854456134735099</v>
      </c>
      <c r="EI37" s="123">
        <f t="shared" si="141"/>
        <v>64.008736086809961</v>
      </c>
      <c r="EJ37" s="123"/>
      <c r="EK37" s="123"/>
      <c r="EL37" s="123"/>
      <c r="EM37" s="123"/>
      <c r="EN37" s="98"/>
      <c r="EO37" s="7"/>
      <c r="EP37" s="105">
        <f>SUM(EP34:EP36)</f>
        <v>27244.71</v>
      </c>
      <c r="EQ37" s="107">
        <f>SUM(EQ34:EQ36)</f>
        <v>55919.89</v>
      </c>
      <c r="ER37" s="109">
        <f>SUM(ER34:ER36)</f>
        <v>17380.68</v>
      </c>
      <c r="ES37" s="101">
        <f t="shared" si="142"/>
        <v>100545.28</v>
      </c>
      <c r="ET37" s="123">
        <f t="shared" si="143"/>
        <v>0.31081391612179493</v>
      </c>
      <c r="EU37" s="123">
        <f t="shared" si="144"/>
        <v>0.48720964937520439</v>
      </c>
      <c r="EV37" s="123"/>
      <c r="EW37" s="123"/>
      <c r="EX37" s="123"/>
      <c r="EY37" s="123"/>
      <c r="EZ37" s="98"/>
      <c r="FA37" s="7"/>
      <c r="FB37" s="105">
        <f>SUM(FB34:FB36)</f>
        <v>193223.5</v>
      </c>
      <c r="FC37" s="107">
        <f>SUM(FC34:FC36)</f>
        <v>310212.40000000002</v>
      </c>
      <c r="FD37" s="109">
        <f>SUM(FD34:FD36)</f>
        <v>138357.20000000001</v>
      </c>
      <c r="FE37" s="101">
        <f t="shared" si="145"/>
        <v>641793.10000000009</v>
      </c>
      <c r="FF37" s="123">
        <f t="shared" si="146"/>
        <v>0.44600796099704587</v>
      </c>
      <c r="FG37" s="123">
        <f t="shared" si="147"/>
        <v>0.62287484317196862</v>
      </c>
      <c r="FH37" s="123"/>
      <c r="FI37" s="123"/>
      <c r="FJ37" s="123"/>
      <c r="FK37" s="123"/>
      <c r="FL37" s="98"/>
    </row>
    <row r="38" spans="1:168" ht="15.75" thickTop="1">
      <c r="A38" s="4" t="s">
        <v>5</v>
      </c>
      <c r="B38" s="5">
        <v>143.43</v>
      </c>
      <c r="C38" s="5">
        <v>291.01400000000001</v>
      </c>
      <c r="D38" s="5">
        <v>52.775399999999998</v>
      </c>
      <c r="E38" s="108">
        <f t="shared" si="148"/>
        <v>487.21940000000001</v>
      </c>
      <c r="F38" s="123">
        <f t="shared" si="149"/>
        <v>0.18135003814249484</v>
      </c>
      <c r="G38" s="123">
        <f t="shared" si="150"/>
        <v>0.49286288632162029</v>
      </c>
      <c r="L38" s="98"/>
      <c r="O38" s="123">
        <f>F99</f>
        <v>0.16479208804045642</v>
      </c>
      <c r="P38" s="123">
        <f>L95</f>
        <v>0.107261</v>
      </c>
      <c r="S38" s="4" t="s">
        <v>5</v>
      </c>
      <c r="T38" s="5">
        <v>322.03500000000003</v>
      </c>
      <c r="U38" s="5">
        <v>587.39800000000002</v>
      </c>
      <c r="V38" s="5">
        <v>246.61</v>
      </c>
      <c r="W38" s="108">
        <f t="shared" si="151"/>
        <v>1156.0430000000001</v>
      </c>
      <c r="X38" s="123">
        <f t="shared" si="152"/>
        <v>0.41983459255904854</v>
      </c>
      <c r="Y38" s="123">
        <f t="shared" si="153"/>
        <v>0.54823986462330487</v>
      </c>
      <c r="AD38" s="98"/>
      <c r="AG38" s="123">
        <f>X99</f>
        <v>0.36010278126781314</v>
      </c>
      <c r="AH38" s="123">
        <f>AD95</f>
        <v>0.231132</v>
      </c>
      <c r="AJ38" s="4" t="s">
        <v>5</v>
      </c>
      <c r="AK38" s="5">
        <v>605.60699999999997</v>
      </c>
      <c r="AL38" s="5">
        <v>1122.19</v>
      </c>
      <c r="AM38" s="5">
        <v>179.08699999999999</v>
      </c>
      <c r="AN38" s="108">
        <f t="shared" si="154"/>
        <v>1906.884</v>
      </c>
      <c r="AO38" s="123">
        <f t="shared" si="155"/>
        <v>0.15958705745016438</v>
      </c>
      <c r="AP38" s="123">
        <f t="shared" si="156"/>
        <v>0.53966529732041801</v>
      </c>
      <c r="AV38" s="98"/>
      <c r="AX38" s="123">
        <f>AO99</f>
        <v>0.1740998865297925</v>
      </c>
      <c r="AY38" s="123">
        <f>AU95</f>
        <v>0.11360000000000001</v>
      </c>
      <c r="BG38" s="4" t="s">
        <v>5</v>
      </c>
      <c r="BH38" s="5">
        <v>422.10599999999999</v>
      </c>
      <c r="BI38" s="5">
        <v>809.904</v>
      </c>
      <c r="BJ38" s="5">
        <v>586.75099999999998</v>
      </c>
      <c r="BK38" s="108">
        <f t="shared" si="157"/>
        <v>1818.761</v>
      </c>
      <c r="BL38" s="123">
        <f t="shared" si="158"/>
        <v>0.7244698137063158</v>
      </c>
      <c r="BM38" s="123">
        <f t="shared" si="159"/>
        <v>0.52118028803413741</v>
      </c>
      <c r="BN38" s="123"/>
      <c r="BO38" s="123"/>
      <c r="BP38" s="123"/>
      <c r="BQ38" s="123"/>
      <c r="BR38" s="123"/>
      <c r="BS38" s="98"/>
      <c r="BU38">
        <f>BL99</f>
        <v>0.70995770887712795</v>
      </c>
      <c r="BV38">
        <f>BR95</f>
        <v>0.47154000000000001</v>
      </c>
      <c r="CC38" s="4" t="s">
        <v>5</v>
      </c>
      <c r="CD38" s="5">
        <v>424.238</v>
      </c>
      <c r="CE38" s="5">
        <v>853.96799999999996</v>
      </c>
      <c r="CF38" s="5">
        <v>1168.53</v>
      </c>
      <c r="CG38" s="108">
        <f t="shared" si="160"/>
        <v>2446.7359999999999</v>
      </c>
      <c r="CH38" s="123">
        <f t="shared" si="161"/>
        <v>1.3683533809229387</v>
      </c>
      <c r="CI38" s="123">
        <f t="shared" si="162"/>
        <v>0.4967844228355161</v>
      </c>
      <c r="CO38" s="98"/>
      <c r="EC38" s="130"/>
      <c r="ED38" s="123"/>
      <c r="EE38" s="123"/>
      <c r="EF38" s="123"/>
      <c r="EG38" s="123"/>
      <c r="EH38" s="124" t="s">
        <v>420</v>
      </c>
      <c r="EI38" s="103">
        <f>AVERAGE(EI34:EI36)</f>
        <v>114.06061605789597</v>
      </c>
      <c r="EJ38" s="123"/>
      <c r="EK38" s="123"/>
      <c r="EL38" s="123"/>
      <c r="EM38" s="123"/>
      <c r="EN38" s="98"/>
      <c r="EO38" s="130"/>
      <c r="EP38" s="123"/>
      <c r="EQ38" s="123"/>
      <c r="ER38" s="123"/>
      <c r="ES38" s="123"/>
      <c r="ET38" s="124" t="s">
        <v>420</v>
      </c>
      <c r="EU38" s="103">
        <f>AVERAGE(EU34:EU36)</f>
        <v>0.45195637984992065</v>
      </c>
      <c r="EV38" s="123"/>
      <c r="EW38" s="123"/>
      <c r="EX38" s="123"/>
      <c r="EY38" s="123"/>
      <c r="EZ38" s="98"/>
      <c r="FA38" s="130"/>
      <c r="FB38" s="123"/>
      <c r="FC38" s="123"/>
      <c r="FD38" s="123"/>
      <c r="FE38" s="123"/>
      <c r="FF38" s="124" t="s">
        <v>420</v>
      </c>
      <c r="FG38" s="103">
        <f>AVERAGE(FG34:FG36)</f>
        <v>0.60444866905532768</v>
      </c>
      <c r="FH38" s="123"/>
      <c r="FI38" s="123"/>
      <c r="FJ38" s="123"/>
      <c r="FK38" s="123"/>
      <c r="FL38" s="98"/>
    </row>
    <row r="39" spans="1:168" ht="15.75" thickBot="1">
      <c r="A39" s="7"/>
      <c r="B39" s="105">
        <f>SUM(B36:B38)</f>
        <v>1342.7360000000001</v>
      </c>
      <c r="C39" s="107">
        <f>SUM(C36:C38)</f>
        <v>2686.6310000000003</v>
      </c>
      <c r="D39" s="109">
        <f>SUM(D36:D38)</f>
        <v>487.21940000000001</v>
      </c>
      <c r="E39" s="101">
        <f t="shared" si="148"/>
        <v>4516.5864000000001</v>
      </c>
      <c r="F39" s="123">
        <f t="shared" si="149"/>
        <v>0.18134957871028806</v>
      </c>
      <c r="G39" s="123">
        <f t="shared" si="150"/>
        <v>0.49978430234743809</v>
      </c>
      <c r="L39" s="98"/>
      <c r="O39" s="123">
        <f>F129</f>
        <v>0.25760262294370717</v>
      </c>
      <c r="P39" s="123">
        <f>L125</f>
        <v>0.16899400000000001</v>
      </c>
      <c r="S39" s="7"/>
      <c r="T39" s="105">
        <f>SUM(T36:T38)</f>
        <v>1624.722</v>
      </c>
      <c r="U39" s="107">
        <f>SUM(U36:U38)</f>
        <v>2753.5640000000003</v>
      </c>
      <c r="V39" s="109">
        <f>SUM(V36:V38)</f>
        <v>1156.0430000000001</v>
      </c>
      <c r="W39" s="101">
        <f t="shared" si="151"/>
        <v>5534.3289999999997</v>
      </c>
      <c r="X39" s="123">
        <f t="shared" si="152"/>
        <v>0.41983516635168094</v>
      </c>
      <c r="Y39" s="123">
        <f t="shared" si="153"/>
        <v>0.59004330387817383</v>
      </c>
      <c r="AD39" s="98"/>
      <c r="AG39" s="123">
        <f>X129</f>
        <v>0.44682033788731051</v>
      </c>
      <c r="AH39" s="123">
        <f>AD125</f>
        <v>0.27151799999999998</v>
      </c>
      <c r="AJ39" s="7"/>
      <c r="AK39" s="105">
        <f>SUM(AK36:AK38)</f>
        <v>6220.9969999999994</v>
      </c>
      <c r="AL39" s="107">
        <f>SUM(AL36:AL38)</f>
        <v>11948.91</v>
      </c>
      <c r="AM39" s="109">
        <f>SUM(AM36:AM38)</f>
        <v>1906.8890000000001</v>
      </c>
      <c r="AN39" s="101">
        <f t="shared" si="154"/>
        <v>20076.795999999998</v>
      </c>
      <c r="AO39" s="123">
        <f t="shared" si="155"/>
        <v>0.15958685771338141</v>
      </c>
      <c r="AP39" s="123">
        <f t="shared" si="156"/>
        <v>0.5206330117140392</v>
      </c>
      <c r="AV39" s="98"/>
      <c r="AX39" s="123">
        <f>AO129</f>
        <v>0.1406387347778143</v>
      </c>
      <c r="AY39" s="123">
        <f>AU125</f>
        <v>9.4791399999999998E-2</v>
      </c>
      <c r="BG39" s="7"/>
      <c r="BH39" s="105">
        <f>SUM(BH36:BH38)</f>
        <v>1275.482</v>
      </c>
      <c r="BI39" s="107">
        <f>SUM(BI36:BI38)</f>
        <v>2510.4690000000001</v>
      </c>
      <c r="BJ39" s="109">
        <f>SUM(BJ36:BJ38)</f>
        <v>1818.758</v>
      </c>
      <c r="BK39" s="101">
        <f t="shared" si="157"/>
        <v>5604.7089999999998</v>
      </c>
      <c r="BL39" s="123">
        <f t="shared" si="158"/>
        <v>0.72446941189076619</v>
      </c>
      <c r="BM39" s="123">
        <f t="shared" si="159"/>
        <v>0.50806522605935378</v>
      </c>
      <c r="BN39" s="123"/>
      <c r="BO39" s="123"/>
      <c r="BP39" s="123"/>
      <c r="BQ39" s="123"/>
      <c r="BR39" s="123"/>
      <c r="BS39" s="98"/>
      <c r="BU39">
        <f>BL129</f>
        <v>0.70917696194620805</v>
      </c>
      <c r="BV39">
        <f>BR125</f>
        <v>0.47693999999999998</v>
      </c>
      <c r="CC39" s="7"/>
      <c r="CD39" s="105">
        <f>SUM(CD36:CD38)</f>
        <v>896.255</v>
      </c>
      <c r="CE39" s="107">
        <f>SUM(CE36:CE38)</f>
        <v>1788.0880000000002</v>
      </c>
      <c r="CF39" s="109">
        <f>SUM(CF36:CF38)</f>
        <v>2446.7349999999997</v>
      </c>
      <c r="CG39" s="101">
        <f t="shared" si="160"/>
        <v>5131.0779999999995</v>
      </c>
      <c r="CH39" s="123">
        <f t="shared" si="161"/>
        <v>1.3683526761546407</v>
      </c>
      <c r="CI39" s="123">
        <f t="shared" si="162"/>
        <v>0.50123651632358135</v>
      </c>
      <c r="CO39" s="98"/>
      <c r="EC39" s="130"/>
      <c r="ED39" s="123"/>
      <c r="EE39" s="123"/>
      <c r="EF39" s="123"/>
      <c r="EG39" s="123"/>
      <c r="EH39" s="123"/>
      <c r="EI39" s="123"/>
      <c r="EJ39" s="123"/>
      <c r="EK39" s="123"/>
      <c r="EL39" s="123" t="s">
        <v>419</v>
      </c>
      <c r="EM39" s="123">
        <v>0.1</v>
      </c>
      <c r="EN39" s="98"/>
      <c r="EO39" s="130"/>
      <c r="EP39" s="123"/>
      <c r="EQ39" s="123"/>
      <c r="ER39" s="123"/>
      <c r="ES39" s="123"/>
      <c r="ET39" s="123"/>
      <c r="EU39" s="123"/>
      <c r="EV39" s="123"/>
      <c r="EW39" s="123"/>
      <c r="EX39" s="123" t="s">
        <v>419</v>
      </c>
      <c r="EY39" s="123">
        <v>0.01</v>
      </c>
      <c r="EZ39" s="98"/>
      <c r="FA39" s="130"/>
      <c r="FB39" s="123"/>
      <c r="FC39" s="123"/>
      <c r="FD39" s="123"/>
      <c r="FE39" s="123"/>
      <c r="FF39" s="123"/>
      <c r="FG39" s="123"/>
      <c r="FH39" s="123"/>
      <c r="FI39" s="123"/>
      <c r="FJ39" s="123" t="s">
        <v>419</v>
      </c>
      <c r="FK39" s="123">
        <v>3.0000000000000001E-3</v>
      </c>
      <c r="FL39" s="98"/>
    </row>
    <row r="40" spans="1:168" ht="16.5" thickTop="1" thickBot="1">
      <c r="A40" s="130"/>
      <c r="F40" s="124" t="s">
        <v>420</v>
      </c>
      <c r="G40" s="103">
        <f>AVERAGE(G36:G38)</f>
        <v>0.50874247276519213</v>
      </c>
      <c r="I40" s="123">
        <v>642.80893587910396</v>
      </c>
      <c r="J40" s="123">
        <v>363.52162635815301</v>
      </c>
      <c r="K40" s="123">
        <v>38.9388805822935</v>
      </c>
      <c r="L40" s="98"/>
      <c r="O40" s="123">
        <f>F159</f>
        <v>0.68774304950366627</v>
      </c>
      <c r="P40" s="123">
        <f>L155</f>
        <v>0.475526</v>
      </c>
      <c r="X40" s="124" t="s">
        <v>420</v>
      </c>
      <c r="Y40" s="103">
        <f>AVERAGE(Y36:Y38)</f>
        <v>0.57944936347427189</v>
      </c>
      <c r="AD40" s="98"/>
      <c r="AO40" s="124" t="s">
        <v>420</v>
      </c>
      <c r="AP40" s="103">
        <f>AVERAGE(AP36:AP38)</f>
        <v>0.52361534482714667</v>
      </c>
      <c r="AV40" s="98"/>
      <c r="AX40" s="123">
        <f>O35</f>
        <v>0.21077750741565332</v>
      </c>
      <c r="AY40" s="123">
        <f>P35</f>
        <v>0.13652600000000001</v>
      </c>
      <c r="BG40" s="130"/>
      <c r="BH40" s="123"/>
      <c r="BI40" s="123"/>
      <c r="BJ40" s="123"/>
      <c r="BK40" s="123"/>
      <c r="BL40" s="124" t="s">
        <v>420</v>
      </c>
      <c r="BM40" s="103">
        <f>AVERAGE(BM36:BM38)</f>
        <v>0.51075572010183057</v>
      </c>
      <c r="BN40" s="123"/>
      <c r="BO40" s="123"/>
      <c r="BP40" s="123"/>
      <c r="BQ40" s="123"/>
      <c r="BR40" s="123"/>
      <c r="BS40" s="98"/>
      <c r="BU40">
        <f>BL159</f>
        <v>0.16699678983675981</v>
      </c>
      <c r="BV40">
        <f>BR155</f>
        <v>0.110121</v>
      </c>
      <c r="CC40" s="130"/>
      <c r="CH40" s="124" t="s">
        <v>420</v>
      </c>
      <c r="CI40" s="103">
        <f>AVERAGE(CI36:CI38)</f>
        <v>0.5015580553123189</v>
      </c>
      <c r="CO40" s="98"/>
      <c r="EC40" s="140" t="s">
        <v>254</v>
      </c>
      <c r="ED40" s="123"/>
      <c r="EE40" s="123"/>
      <c r="EF40" s="123"/>
      <c r="EG40" s="123"/>
      <c r="EH40" s="123"/>
      <c r="EI40" s="123"/>
      <c r="EJ40" s="123"/>
      <c r="EK40" s="123"/>
      <c r="EL40" s="124" t="s">
        <v>218</v>
      </c>
      <c r="EM40" s="123"/>
      <c r="EN40" s="98"/>
      <c r="EO40" s="140" t="s">
        <v>254</v>
      </c>
      <c r="EP40" s="123"/>
      <c r="EQ40" s="123"/>
      <c r="ER40" s="123"/>
      <c r="ES40" s="123"/>
      <c r="ET40" s="123"/>
      <c r="EU40" s="123"/>
      <c r="EV40" s="123"/>
      <c r="EW40" s="123"/>
      <c r="EX40" s="124" t="s">
        <v>218</v>
      </c>
      <c r="EY40" s="123"/>
      <c r="EZ40" s="98"/>
      <c r="FA40" s="140" t="s">
        <v>254</v>
      </c>
      <c r="FB40" s="123"/>
      <c r="FC40" s="123"/>
      <c r="FD40" s="123"/>
      <c r="FE40" s="123"/>
      <c r="FF40" s="123"/>
      <c r="FG40" s="123"/>
      <c r="FH40" s="123"/>
      <c r="FI40" s="123"/>
      <c r="FJ40" s="124" t="s">
        <v>218</v>
      </c>
      <c r="FK40" s="123"/>
      <c r="FL40" s="98"/>
    </row>
    <row r="41" spans="1:168" ht="15.75" thickTop="1">
      <c r="A41" s="130"/>
      <c r="L41" s="98"/>
      <c r="O41" s="123">
        <f>F189</f>
        <v>0.60159075333327117</v>
      </c>
      <c r="P41" s="123">
        <f>L185</f>
        <v>0.41960199999999997</v>
      </c>
      <c r="AD41" s="98"/>
      <c r="AV41" s="98"/>
      <c r="AX41" s="123">
        <f t="shared" ref="AX41:AY41" si="163">O36</f>
        <v>0.18134957871028806</v>
      </c>
      <c r="AY41" s="123">
        <f t="shared" si="163"/>
        <v>0.120867</v>
      </c>
      <c r="BG41" s="130"/>
      <c r="BH41" s="123"/>
      <c r="BI41" s="123"/>
      <c r="BJ41" s="123"/>
      <c r="BK41" s="123"/>
      <c r="BL41" s="123"/>
      <c r="BM41" s="123"/>
      <c r="BN41" s="123"/>
      <c r="BO41" s="123"/>
      <c r="BP41" s="123"/>
      <c r="BQ41" s="123"/>
      <c r="BR41" s="123"/>
      <c r="BS41" s="98"/>
      <c r="BU41">
        <f>BL189</f>
        <v>0.1905344742730232</v>
      </c>
      <c r="BV41">
        <f>BR185</f>
        <v>0.12712899999999999</v>
      </c>
      <c r="CC41" s="130"/>
      <c r="CO41" s="98"/>
      <c r="EC41" s="1"/>
      <c r="ED41" s="2" t="s">
        <v>8</v>
      </c>
      <c r="EE41" s="2" t="s">
        <v>9</v>
      </c>
      <c r="EF41" s="2" t="s">
        <v>10</v>
      </c>
      <c r="EG41" s="3" t="s">
        <v>11</v>
      </c>
      <c r="EH41" s="103" t="s">
        <v>16</v>
      </c>
      <c r="EI41" s="103" t="s">
        <v>172</v>
      </c>
      <c r="EJ41" s="124" t="s">
        <v>171</v>
      </c>
      <c r="EK41" s="123"/>
      <c r="EL41" s="123">
        <f>0.13*0.1</f>
        <v>1.3000000000000001E-2</v>
      </c>
      <c r="EM41" s="103" t="s">
        <v>212</v>
      </c>
      <c r="EN41" s="98"/>
      <c r="EO41" s="1"/>
      <c r="EP41" s="2" t="s">
        <v>8</v>
      </c>
      <c r="EQ41" s="2" t="s">
        <v>9</v>
      </c>
      <c r="ER41" s="2" t="s">
        <v>10</v>
      </c>
      <c r="ES41" s="3" t="s">
        <v>11</v>
      </c>
      <c r="ET41" s="103" t="s">
        <v>16</v>
      </c>
      <c r="EU41" s="103" t="s">
        <v>172</v>
      </c>
      <c r="EV41" s="124" t="s">
        <v>171</v>
      </c>
      <c r="EW41" s="123"/>
      <c r="EX41" s="123">
        <f>0.13*0.01</f>
        <v>1.3000000000000002E-3</v>
      </c>
      <c r="EY41" s="103" t="s">
        <v>212</v>
      </c>
      <c r="EZ41" s="98"/>
      <c r="FA41" s="1"/>
      <c r="FB41" s="2" t="s">
        <v>8</v>
      </c>
      <c r="FC41" s="2" t="s">
        <v>9</v>
      </c>
      <c r="FD41" s="2" t="s">
        <v>10</v>
      </c>
      <c r="FE41" s="3" t="s">
        <v>11</v>
      </c>
      <c r="FF41" s="103" t="s">
        <v>16</v>
      </c>
      <c r="FG41" s="103" t="s">
        <v>172</v>
      </c>
      <c r="FH41" s="124" t="s">
        <v>171</v>
      </c>
      <c r="FI41" s="123"/>
      <c r="FJ41" s="123">
        <f>0.13*FK39</f>
        <v>3.9000000000000005E-4</v>
      </c>
      <c r="FK41" s="103" t="s">
        <v>212</v>
      </c>
      <c r="FL41" s="98"/>
    </row>
    <row r="42" spans="1:168" ht="15.75" thickBot="1">
      <c r="A42" s="140" t="s">
        <v>254</v>
      </c>
      <c r="J42" s="124" t="s">
        <v>218</v>
      </c>
      <c r="L42" s="98"/>
      <c r="O42" s="123">
        <f>F219</f>
        <v>0.66822115375525393</v>
      </c>
      <c r="P42" s="123">
        <f>L215</f>
        <v>0.44540299999999999</v>
      </c>
      <c r="S42" s="140" t="s">
        <v>254</v>
      </c>
      <c r="AB42" s="124" t="s">
        <v>218</v>
      </c>
      <c r="AD42" s="98"/>
      <c r="AJ42" s="140" t="s">
        <v>254</v>
      </c>
      <c r="AT42" s="124" t="s">
        <v>218</v>
      </c>
      <c r="AV42" s="98"/>
      <c r="AX42" s="123">
        <f t="shared" ref="AX42:AY42" si="164">O37</f>
        <v>0.15303480030970265</v>
      </c>
      <c r="AY42" s="123">
        <f t="shared" si="164"/>
        <v>0.10675999999999999</v>
      </c>
      <c r="BG42" s="140" t="s">
        <v>254</v>
      </c>
      <c r="BH42" s="123"/>
      <c r="BI42" s="123"/>
      <c r="BJ42" s="123"/>
      <c r="BK42" s="123"/>
      <c r="BL42" s="123"/>
      <c r="BM42" s="123"/>
      <c r="BN42" s="123"/>
      <c r="BO42" s="123"/>
      <c r="BP42" s="123"/>
      <c r="BQ42" s="124" t="s">
        <v>218</v>
      </c>
      <c r="BR42" s="123"/>
      <c r="BS42" s="98"/>
      <c r="BU42">
        <f>BL219</f>
        <v>0.16923558845479156</v>
      </c>
      <c r="BV42">
        <f>BR215</f>
        <v>0.11326799999999999</v>
      </c>
      <c r="CC42" s="140" t="s">
        <v>254</v>
      </c>
      <c r="CM42" s="124" t="s">
        <v>218</v>
      </c>
      <c r="CO42" s="98"/>
      <c r="EC42" s="4" t="s">
        <v>3</v>
      </c>
      <c r="ED42" s="100">
        <f>1.6522*10^8</f>
        <v>165220000</v>
      </c>
      <c r="EE42" s="5">
        <f>2.62238*10^6</f>
        <v>2622380</v>
      </c>
      <c r="EF42" s="5">
        <f>1.00587*10^6</f>
        <v>1005870</v>
      </c>
      <c r="EG42" s="110">
        <f>SUM(ED42:EF42)</f>
        <v>168848250</v>
      </c>
      <c r="EH42" s="123">
        <f>EF42/(ED42+EE42)</f>
        <v>5.9929440943342202E-3</v>
      </c>
      <c r="EI42" s="123">
        <f>ED42/EE42</f>
        <v>63.003836209855173</v>
      </c>
      <c r="EJ42" s="125">
        <f>ABS((EG45-EG37)/EG37)</f>
        <v>2.6817839667429176E-3</v>
      </c>
      <c r="EK42" s="123"/>
      <c r="EL42" s="123">
        <f>0.307*0.1</f>
        <v>3.0700000000000002E-2</v>
      </c>
      <c r="EM42" s="123" t="s">
        <v>213</v>
      </c>
      <c r="EN42" s="98"/>
      <c r="EO42" s="4" t="s">
        <v>3</v>
      </c>
      <c r="EP42" s="100">
        <v>4344.83</v>
      </c>
      <c r="EQ42" s="5">
        <v>17659.900000000001</v>
      </c>
      <c r="ER42" s="5">
        <v>4586.6899999999996</v>
      </c>
      <c r="ES42" s="110">
        <f>SUM(EP42:ER42)</f>
        <v>26591.420000000002</v>
      </c>
      <c r="ET42" s="123">
        <f>ER42/(EP42+EQ42)</f>
        <v>0.20844109425564408</v>
      </c>
      <c r="EU42" s="123">
        <f>EP42/EQ42</f>
        <v>0.24602800695360674</v>
      </c>
      <c r="EV42" s="125">
        <f>ABS((ES45-ES37)/ES37)</f>
        <v>2.1835933024403368E-3</v>
      </c>
      <c r="EW42" s="123"/>
      <c r="EX42" s="123">
        <f>0.307*0.01</f>
        <v>3.0699999999999998E-3</v>
      </c>
      <c r="EY42" s="123" t="s">
        <v>213</v>
      </c>
      <c r="EZ42" s="98"/>
      <c r="FA42" s="4" t="s">
        <v>3</v>
      </c>
      <c r="FB42" s="100">
        <v>36370.1</v>
      </c>
      <c r="FC42" s="5">
        <v>109842</v>
      </c>
      <c r="FD42" s="5">
        <v>40199.800000000003</v>
      </c>
      <c r="FE42" s="110">
        <f>SUM(FB42:FD42)</f>
        <v>186411.90000000002</v>
      </c>
      <c r="FF42" s="123">
        <f>FD42/(FB42+FC42)</f>
        <v>0.27494167719361123</v>
      </c>
      <c r="FG42" s="123">
        <f>FB42/FC42</f>
        <v>0.33111287121501792</v>
      </c>
      <c r="FH42" s="125">
        <f>ABS((FE45-FE37)/FE37)</f>
        <v>3.329733523156759E-4</v>
      </c>
      <c r="FI42" s="123"/>
      <c r="FJ42" s="123">
        <f>0.307*FK39</f>
        <v>9.2100000000000005E-4</v>
      </c>
      <c r="FK42" s="123" t="s">
        <v>213</v>
      </c>
      <c r="FL42" s="98"/>
    </row>
    <row r="43" spans="1:168" ht="15.75" thickTop="1">
      <c r="A43" s="1"/>
      <c r="B43" s="2" t="s">
        <v>8</v>
      </c>
      <c r="C43" s="2" t="s">
        <v>9</v>
      </c>
      <c r="D43" s="2" t="s">
        <v>10</v>
      </c>
      <c r="E43" s="3" t="s">
        <v>11</v>
      </c>
      <c r="F43" s="103" t="s">
        <v>16</v>
      </c>
      <c r="G43" s="103" t="s">
        <v>172</v>
      </c>
      <c r="H43" s="124" t="s">
        <v>171</v>
      </c>
      <c r="J43" s="123">
        <v>0.1</v>
      </c>
      <c r="K43" s="103" t="s">
        <v>212</v>
      </c>
      <c r="L43" s="98" t="s">
        <v>240</v>
      </c>
      <c r="O43" s="123">
        <f>F249</f>
        <v>0.7572201953793517</v>
      </c>
      <c r="P43" s="123">
        <f>L245</f>
        <v>0.49345699999999998</v>
      </c>
      <c r="S43" s="1"/>
      <c r="T43" s="2" t="s">
        <v>8</v>
      </c>
      <c r="U43" s="2" t="s">
        <v>9</v>
      </c>
      <c r="V43" s="2" t="s">
        <v>10</v>
      </c>
      <c r="W43" s="3" t="s">
        <v>11</v>
      </c>
      <c r="X43" s="103" t="s">
        <v>16</v>
      </c>
      <c r="Y43" s="103" t="s">
        <v>172</v>
      </c>
      <c r="Z43" s="124" t="s">
        <v>171</v>
      </c>
      <c r="AB43" s="123">
        <v>0.05</v>
      </c>
      <c r="AC43" s="103" t="s">
        <v>212</v>
      </c>
      <c r="AD43" s="98" t="s">
        <v>240</v>
      </c>
      <c r="AJ43" s="1"/>
      <c r="AK43" s="2" t="s">
        <v>8</v>
      </c>
      <c r="AL43" s="2" t="s">
        <v>9</v>
      </c>
      <c r="AM43" s="2" t="s">
        <v>10</v>
      </c>
      <c r="AN43" s="3" t="s">
        <v>11</v>
      </c>
      <c r="AO43" s="103" t="s">
        <v>16</v>
      </c>
      <c r="AP43" s="103" t="s">
        <v>172</v>
      </c>
      <c r="AQ43" s="124" t="s">
        <v>171</v>
      </c>
      <c r="AT43" s="123">
        <v>0.03</v>
      </c>
      <c r="AU43" s="103" t="s">
        <v>212</v>
      </c>
      <c r="AV43" s="98" t="s">
        <v>240</v>
      </c>
      <c r="AX43" s="123">
        <f t="shared" ref="AX43:AY43" si="165">O38</f>
        <v>0.16479208804045642</v>
      </c>
      <c r="AY43" s="123">
        <f t="shared" si="165"/>
        <v>0.107261</v>
      </c>
      <c r="BG43" s="1"/>
      <c r="BH43" s="2" t="s">
        <v>8</v>
      </c>
      <c r="BI43" s="2" t="s">
        <v>9</v>
      </c>
      <c r="BJ43" s="2" t="s">
        <v>10</v>
      </c>
      <c r="BK43" s="3" t="s">
        <v>11</v>
      </c>
      <c r="BL43" s="103" t="s">
        <v>16</v>
      </c>
      <c r="BM43" s="103" t="s">
        <v>172</v>
      </c>
      <c r="BN43" s="124" t="s">
        <v>171</v>
      </c>
      <c r="BO43" s="123"/>
      <c r="BP43" s="123"/>
      <c r="BQ43" s="123">
        <v>1.4999999999999999E-2</v>
      </c>
      <c r="BR43" s="103" t="s">
        <v>212</v>
      </c>
      <c r="BS43" s="98" t="s">
        <v>240</v>
      </c>
      <c r="BU43">
        <f>BL249</f>
        <v>0.17154221949331269</v>
      </c>
      <c r="BV43">
        <f>BR246</f>
        <v>0.11444799999999999</v>
      </c>
      <c r="CC43" s="1"/>
      <c r="CD43" s="2" t="s">
        <v>8</v>
      </c>
      <c r="CE43" s="2" t="s">
        <v>9</v>
      </c>
      <c r="CF43" s="2" t="s">
        <v>10</v>
      </c>
      <c r="CG43" s="3" t="s">
        <v>11</v>
      </c>
      <c r="CH43" s="103" t="s">
        <v>16</v>
      </c>
      <c r="CI43" s="103" t="s">
        <v>172</v>
      </c>
      <c r="CJ43" s="124" t="s">
        <v>171</v>
      </c>
      <c r="CM43" s="123">
        <v>7.0000000000000001E-3</v>
      </c>
      <c r="CN43" s="103" t="s">
        <v>212</v>
      </c>
      <c r="CO43" s="98" t="s">
        <v>240</v>
      </c>
      <c r="EC43" s="4" t="s">
        <v>4</v>
      </c>
      <c r="ED43" s="5">
        <f>2.61514*10^6</f>
        <v>2615140</v>
      </c>
      <c r="EE43" s="5">
        <v>16418.8</v>
      </c>
      <c r="EF43" s="5">
        <v>15770.9</v>
      </c>
      <c r="EG43" s="112">
        <f t="shared" ref="EG43:EG44" si="166">SUM(ED43:EF43)</f>
        <v>2647329.6999999997</v>
      </c>
      <c r="EH43" s="123">
        <f t="shared" ref="EH43:EH45" si="167">EF43/(ED43+EE43)</f>
        <v>5.9929878823152269E-3</v>
      </c>
      <c r="EI43" s="123">
        <f t="shared" ref="EI43:EI45" si="168">ED43/EE43</f>
        <v>159.27717007333058</v>
      </c>
      <c r="EJ43" s="123"/>
      <c r="EK43" s="123"/>
      <c r="EL43" s="123">
        <f>0.23*0.1</f>
        <v>2.3000000000000003E-2</v>
      </c>
      <c r="EM43" s="123" t="s">
        <v>214</v>
      </c>
      <c r="EN43" s="98"/>
      <c r="EO43" s="4" t="s">
        <v>4</v>
      </c>
      <c r="EP43" s="5">
        <v>17802.099999999999</v>
      </c>
      <c r="EQ43" s="5">
        <v>29194.6</v>
      </c>
      <c r="ER43" s="5">
        <v>9796.0300000000007</v>
      </c>
      <c r="ES43" s="112">
        <f t="shared" ref="ES43:ES44" si="169">SUM(EP43:ER43)</f>
        <v>56792.729999999996</v>
      </c>
      <c r="ET43" s="123">
        <f t="shared" ref="ET43:ET45" si="170">ER43/(EP43+EQ43)</f>
        <v>0.2084408054182528</v>
      </c>
      <c r="EU43" s="123">
        <f t="shared" ref="EU43:EU45" si="171">EP43/EQ43</f>
        <v>0.60977372527796236</v>
      </c>
      <c r="EV43" s="123"/>
      <c r="EW43" s="123"/>
      <c r="EX43" s="123">
        <f>0.23*0.01</f>
        <v>2.3E-3</v>
      </c>
      <c r="EY43" s="123" t="s">
        <v>214</v>
      </c>
      <c r="EZ43" s="98"/>
      <c r="FA43" s="4" t="s">
        <v>4</v>
      </c>
      <c r="FB43" s="5">
        <v>109722</v>
      </c>
      <c r="FC43" s="5">
        <v>138768</v>
      </c>
      <c r="FD43" s="5">
        <v>68320.399999999994</v>
      </c>
      <c r="FE43" s="112">
        <f t="shared" ref="FE43:FE44" si="172">SUM(FB43:FD43)</f>
        <v>316810.40000000002</v>
      </c>
      <c r="FF43" s="123">
        <f t="shared" ref="FF43:FF45" si="173">FD43/(FB43+FC43)</f>
        <v>0.27494225119723126</v>
      </c>
      <c r="FG43" s="123">
        <f t="shared" ref="FG43:FG45" si="174">FB43/FC43</f>
        <v>0.79068661362850223</v>
      </c>
      <c r="FH43" s="123"/>
      <c r="FI43" s="123"/>
      <c r="FJ43" s="123">
        <f>0.23*FK39</f>
        <v>6.9000000000000008E-4</v>
      </c>
      <c r="FK43" s="123" t="s">
        <v>214</v>
      </c>
      <c r="FL43" s="98"/>
    </row>
    <row r="44" spans="1:168">
      <c r="A44" s="4" t="s">
        <v>3</v>
      </c>
      <c r="B44" s="100">
        <v>435.76499999999999</v>
      </c>
      <c r="C44" s="5">
        <v>768.69600000000003</v>
      </c>
      <c r="D44" s="5">
        <v>145.58000000000001</v>
      </c>
      <c r="E44" s="110">
        <f>SUM(B44:D44)</f>
        <v>1350.0409999999999</v>
      </c>
      <c r="F44" s="123">
        <f>D44/(B44+C44)</f>
        <v>0.12086734232158618</v>
      </c>
      <c r="G44" s="123">
        <f>B44/C44</f>
        <v>0.56688860095538418</v>
      </c>
      <c r="H44" s="125">
        <f>ABS((E47-E39)/E39)</f>
        <v>3.6979254952379021E-4</v>
      </c>
      <c r="J44" s="123">
        <f>J43</f>
        <v>0.1</v>
      </c>
      <c r="K44" s="123" t="s">
        <v>213</v>
      </c>
      <c r="L44" s="98" t="s">
        <v>241</v>
      </c>
      <c r="O44" s="123">
        <f>F279</f>
        <v>0.77015110980857304</v>
      </c>
      <c r="P44" s="123">
        <f>L275</f>
        <v>0.51344599999999996</v>
      </c>
      <c r="S44" s="4" t="s">
        <v>3</v>
      </c>
      <c r="T44" s="100">
        <v>465.423</v>
      </c>
      <c r="U44" s="5">
        <v>823.46299999999997</v>
      </c>
      <c r="V44" s="5">
        <v>338.34800000000001</v>
      </c>
      <c r="W44" s="110">
        <f>SUM(T44:V44)</f>
        <v>1627.2339999999999</v>
      </c>
      <c r="X44" s="123">
        <f>V44/(T44+U44)</f>
        <v>0.26251196769923796</v>
      </c>
      <c r="Y44" s="123">
        <f>T44/U44</f>
        <v>0.56520207951055479</v>
      </c>
      <c r="Z44" s="125">
        <f>ABS((W47-W39)/W39)</f>
        <v>4.6052556687539124E-3</v>
      </c>
      <c r="AB44" s="123">
        <f>AB43</f>
        <v>0.05</v>
      </c>
      <c r="AC44" s="123" t="s">
        <v>213</v>
      </c>
      <c r="AD44" s="98" t="s">
        <v>241</v>
      </c>
      <c r="AJ44" s="4" t="s">
        <v>3</v>
      </c>
      <c r="AK44" s="100">
        <v>1885.05</v>
      </c>
      <c r="AL44" s="5">
        <v>3732.36</v>
      </c>
      <c r="AM44" s="5">
        <v>590.33600000000001</v>
      </c>
      <c r="AN44" s="110">
        <f>SUM(AK44:AM44)</f>
        <v>6207.7460000000001</v>
      </c>
      <c r="AO44" s="123">
        <f>AM44/(AK44+AL44)</f>
        <v>0.10509042423465619</v>
      </c>
      <c r="AP44" s="123">
        <f>AK44/AL44</f>
        <v>0.50505578240041149</v>
      </c>
      <c r="AQ44" s="125">
        <f>ABS((AN47-AN39)/AN39)</f>
        <v>1.229877516312817E-3</v>
      </c>
      <c r="AT44" s="123">
        <f>AT43</f>
        <v>0.03</v>
      </c>
      <c r="AU44" s="123" t="s">
        <v>213</v>
      </c>
      <c r="AV44" s="98" t="s">
        <v>241</v>
      </c>
      <c r="AX44" s="123">
        <f t="shared" ref="AX44:AY44" si="175">O39</f>
        <v>0.25760262294370717</v>
      </c>
      <c r="AY44" s="123">
        <f t="shared" si="175"/>
        <v>0.16899400000000001</v>
      </c>
      <c r="BG44" s="4" t="s">
        <v>3</v>
      </c>
      <c r="BH44" s="100">
        <v>293.822</v>
      </c>
      <c r="BI44" s="5">
        <v>565.80100000000004</v>
      </c>
      <c r="BJ44" s="5">
        <v>414.702</v>
      </c>
      <c r="BK44" s="110">
        <f>SUM(BH44:BJ44)</f>
        <v>1274.325</v>
      </c>
      <c r="BL44" s="123">
        <f>BJ44/(BH44+BI44)</f>
        <v>0.48242310873487559</v>
      </c>
      <c r="BM44" s="123">
        <f>BH44/BI44</f>
        <v>0.51930272304220026</v>
      </c>
      <c r="BN44" s="125">
        <f>ABS((BK47-BK39)/BK39)</f>
        <v>2.8361864996023401E-3</v>
      </c>
      <c r="BO44" s="123"/>
      <c r="BP44" s="123"/>
      <c r="BQ44" s="123">
        <f>BQ43</f>
        <v>1.4999999999999999E-2</v>
      </c>
      <c r="BR44" s="123" t="s">
        <v>213</v>
      </c>
      <c r="BS44" s="98" t="s">
        <v>241</v>
      </c>
      <c r="BU44">
        <f>BL279</f>
        <v>0.1536170181690717</v>
      </c>
      <c r="BV44">
        <f>BR276</f>
        <v>0.102274</v>
      </c>
      <c r="CC44" s="4" t="s">
        <v>3</v>
      </c>
      <c r="CD44" s="100">
        <v>156.37</v>
      </c>
      <c r="CE44" s="5">
        <v>313.66800000000001</v>
      </c>
      <c r="CF44" s="5">
        <v>427.22300000000001</v>
      </c>
      <c r="CG44" s="110">
        <f>SUM(CD44:CF44)</f>
        <v>897.26099999999997</v>
      </c>
      <c r="CH44" s="123">
        <f>CF44/(CD44+CE44)</f>
        <v>0.90891161991158165</v>
      </c>
      <c r="CI44" s="123">
        <f>CD44/CE44</f>
        <v>0.49852072892357524</v>
      </c>
      <c r="CJ44" s="125">
        <f>ABS((CG47-CG39)/CG39)</f>
        <v>1.4792213254213142E-3</v>
      </c>
      <c r="CM44" s="123">
        <f>CM43</f>
        <v>7.0000000000000001E-3</v>
      </c>
      <c r="CN44" s="123" t="s">
        <v>213</v>
      </c>
      <c r="CO44" s="98" t="s">
        <v>241</v>
      </c>
      <c r="EC44" s="4" t="s">
        <v>5</v>
      </c>
      <c r="ED44" s="5">
        <f>1.01311*10^6</f>
        <v>1013110</v>
      </c>
      <c r="EE44" s="5">
        <v>8536.74</v>
      </c>
      <c r="EF44" s="5">
        <v>6122.7</v>
      </c>
      <c r="EG44" s="108">
        <f t="shared" si="166"/>
        <v>1027769.44</v>
      </c>
      <c r="EH44" s="123">
        <f t="shared" si="167"/>
        <v>5.992971699787345E-3</v>
      </c>
      <c r="EI44" s="123">
        <f t="shared" si="168"/>
        <v>118.67645026087241</v>
      </c>
      <c r="EJ44" s="123"/>
      <c r="EK44" s="123" t="s">
        <v>397</v>
      </c>
      <c r="EL44" s="123"/>
      <c r="EM44" s="103" t="s">
        <v>215</v>
      </c>
      <c r="EN44" s="98"/>
      <c r="EO44" s="4" t="s">
        <v>5</v>
      </c>
      <c r="EP44" s="5">
        <v>4444.51</v>
      </c>
      <c r="EQ44" s="5">
        <v>9938.2199999999993</v>
      </c>
      <c r="ER44" s="5">
        <v>2997.95</v>
      </c>
      <c r="ES44" s="108">
        <f t="shared" si="169"/>
        <v>17380.68</v>
      </c>
      <c r="ET44" s="123">
        <f t="shared" si="170"/>
        <v>0.20844095661950129</v>
      </c>
      <c r="EU44" s="123">
        <f t="shared" si="171"/>
        <v>0.44721388739633461</v>
      </c>
      <c r="EV44" s="123"/>
      <c r="EW44" s="123" t="s">
        <v>397</v>
      </c>
      <c r="EX44" s="123"/>
      <c r="EY44" s="103" t="s">
        <v>215</v>
      </c>
      <c r="EZ44" s="98"/>
      <c r="FA44" s="4" t="s">
        <v>5</v>
      </c>
      <c r="FB44" s="5">
        <v>40319.5</v>
      </c>
      <c r="FC44" s="5">
        <v>68200.7</v>
      </c>
      <c r="FD44" s="5">
        <v>29836.9</v>
      </c>
      <c r="FE44" s="108">
        <f t="shared" si="172"/>
        <v>138357.1</v>
      </c>
      <c r="FF44" s="123">
        <f t="shared" si="173"/>
        <v>0.27494328244879757</v>
      </c>
      <c r="FG44" s="123">
        <f t="shared" si="174"/>
        <v>0.59118894674101585</v>
      </c>
      <c r="FH44" s="123"/>
      <c r="FI44" s="123" t="s">
        <v>397</v>
      </c>
      <c r="FJ44" s="123"/>
      <c r="FK44" s="103" t="s">
        <v>215</v>
      </c>
      <c r="FL44" s="98"/>
    </row>
    <row r="45" spans="1:168" ht="15.75" thickBot="1">
      <c r="A45" s="4" t="s">
        <v>4</v>
      </c>
      <c r="B45" s="5">
        <v>769.96500000000003</v>
      </c>
      <c r="C45" s="5">
        <v>1621.93</v>
      </c>
      <c r="D45" s="5">
        <v>289.101</v>
      </c>
      <c r="E45" s="112">
        <f t="shared" ref="E45:E46" si="176">SUM(B45:D45)</f>
        <v>2680.9960000000001</v>
      </c>
      <c r="F45" s="123">
        <f t="shared" ref="F45:F47" si="177">D45/(B45+C45)</f>
        <v>0.12086692768704312</v>
      </c>
      <c r="G45" s="123">
        <f t="shared" ref="G45:G47" si="178">B45/C45</f>
        <v>0.4747214737997324</v>
      </c>
      <c r="J45" s="123">
        <f t="shared" ref="J45:J48" si="179">J44</f>
        <v>0.1</v>
      </c>
      <c r="K45" s="123" t="s">
        <v>214</v>
      </c>
      <c r="L45" s="98" t="s">
        <v>242</v>
      </c>
      <c r="S45" s="4" t="s">
        <v>4</v>
      </c>
      <c r="T45" s="5">
        <v>838.96799999999996</v>
      </c>
      <c r="U45" s="5">
        <v>1360.25</v>
      </c>
      <c r="V45" s="5">
        <v>577.32100000000003</v>
      </c>
      <c r="W45" s="112">
        <f t="shared" ref="W45:W46" si="180">SUM(T45:V45)</f>
        <v>2776.5389999999998</v>
      </c>
      <c r="X45" s="123">
        <f t="shared" ref="X45:X47" si="181">V45/(T45+U45)</f>
        <v>0.26251194742858602</v>
      </c>
      <c r="Y45" s="123">
        <f t="shared" ref="Y45:Y47" si="182">T45/U45</f>
        <v>0.61677485756294792</v>
      </c>
      <c r="AB45" s="123">
        <f t="shared" ref="AB45:AB48" si="183">AB44</f>
        <v>0.05</v>
      </c>
      <c r="AC45" s="123" t="s">
        <v>214</v>
      </c>
      <c r="AD45" s="98" t="s">
        <v>242</v>
      </c>
      <c r="AJ45" s="4" t="s">
        <v>4</v>
      </c>
      <c r="AK45" s="5">
        <v>3718.28</v>
      </c>
      <c r="AL45" s="5">
        <v>7083.98</v>
      </c>
      <c r="AM45" s="5">
        <v>1135.21</v>
      </c>
      <c r="AN45" s="112">
        <f t="shared" ref="AN45:AN46" si="184">SUM(AK45:AM45)</f>
        <v>11937.470000000001</v>
      </c>
      <c r="AO45" s="123">
        <f t="shared" ref="AO45:AO47" si="185">AM45/(AK45+AL45)</f>
        <v>0.10509004597186145</v>
      </c>
      <c r="AP45" s="123">
        <f t="shared" ref="AP45:AP47" si="186">AK45/AL45</f>
        <v>0.52488572807941303</v>
      </c>
      <c r="AT45" s="123">
        <f t="shared" ref="AT45" si="187">AT44</f>
        <v>0.03</v>
      </c>
      <c r="AU45" s="123" t="s">
        <v>214</v>
      </c>
      <c r="AV45" s="98" t="s">
        <v>242</v>
      </c>
      <c r="AX45" s="123">
        <f t="shared" ref="AX45:AY45" si="188">O40</f>
        <v>0.68774304950366627</v>
      </c>
      <c r="AY45" s="123">
        <f t="shared" si="188"/>
        <v>0.475526</v>
      </c>
      <c r="BG45" s="4" t="s">
        <v>4</v>
      </c>
      <c r="BH45" s="5">
        <v>558.66899999999998</v>
      </c>
      <c r="BI45" s="5">
        <v>1124.8800000000001</v>
      </c>
      <c r="BJ45" s="5">
        <v>812.18100000000004</v>
      </c>
      <c r="BK45" s="112">
        <f t="shared" ref="BK45:BK46" si="189">SUM(BH45:BJ45)</f>
        <v>2495.73</v>
      </c>
      <c r="BL45" s="123">
        <f t="shared" ref="BL45:BL47" si="190">BJ45/(BH45+BI45)</f>
        <v>0.48242195504853141</v>
      </c>
      <c r="BM45" s="123">
        <f t="shared" ref="BM45:BM47" si="191">BH45/BI45</f>
        <v>0.49664764241519088</v>
      </c>
      <c r="BN45" s="123"/>
      <c r="BO45" s="123"/>
      <c r="BP45" s="123"/>
      <c r="BQ45" s="123">
        <f t="shared" ref="BQ45" si="192">BQ44</f>
        <v>1.4999999999999999E-2</v>
      </c>
      <c r="BR45" s="123" t="s">
        <v>214</v>
      </c>
      <c r="BS45" s="98" t="s">
        <v>242</v>
      </c>
      <c r="CC45" s="4" t="s">
        <v>4</v>
      </c>
      <c r="CD45" s="5">
        <v>316.21600000000001</v>
      </c>
      <c r="CE45" s="5">
        <v>623.93899999999996</v>
      </c>
      <c r="CF45" s="5">
        <v>854.51900000000001</v>
      </c>
      <c r="CG45" s="112">
        <f t="shared" ref="CG45:CG46" si="193">SUM(CD45:CF45)</f>
        <v>1794.674</v>
      </c>
      <c r="CH45" s="123">
        <f t="shared" ref="CH45:CH47" si="194">CF45/(CD45+CE45)</f>
        <v>0.90891289202312386</v>
      </c>
      <c r="CI45" s="123">
        <f t="shared" ref="CI45:CI47" si="195">CD45/CE45</f>
        <v>0.5068059537871491</v>
      </c>
      <c r="CM45" s="123">
        <f t="shared" ref="CM45" si="196">CM44</f>
        <v>7.0000000000000001E-3</v>
      </c>
      <c r="CN45" s="123" t="s">
        <v>214</v>
      </c>
      <c r="CO45" s="98" t="s">
        <v>242</v>
      </c>
      <c r="EC45" s="7"/>
      <c r="ED45" s="111">
        <f>SUM(ED42:ED44)</f>
        <v>168848250</v>
      </c>
      <c r="EE45" s="113">
        <f t="shared" ref="EE45:EF45" si="197">SUM(EE42:EE44)</f>
        <v>2647335.54</v>
      </c>
      <c r="EF45" s="109">
        <f t="shared" si="197"/>
        <v>1027763.6</v>
      </c>
      <c r="EG45" s="102">
        <f>SUM(EG42:EG44)</f>
        <v>172523349.13999999</v>
      </c>
      <c r="EH45" s="123">
        <f t="shared" si="167"/>
        <v>5.992944930703667E-3</v>
      </c>
      <c r="EI45" s="123">
        <f t="shared" si="168"/>
        <v>63.78044922858551</v>
      </c>
      <c r="EJ45" s="123"/>
      <c r="EK45" s="123" t="s">
        <v>398</v>
      </c>
      <c r="EL45" s="123"/>
      <c r="EM45" s="103" t="s">
        <v>216</v>
      </c>
      <c r="EN45" s="98"/>
      <c r="EO45" s="7"/>
      <c r="EP45" s="111">
        <f>SUM(EP42:EP44)</f>
        <v>26591.440000000002</v>
      </c>
      <c r="EQ45" s="113">
        <f t="shared" ref="EQ45:ER45" si="198">SUM(EQ42:EQ44)</f>
        <v>56792.72</v>
      </c>
      <c r="ER45" s="109">
        <f t="shared" si="198"/>
        <v>17380.670000000002</v>
      </c>
      <c r="ES45" s="102">
        <f>SUM(ES42:ES44)</f>
        <v>100764.82999999999</v>
      </c>
      <c r="ET45" s="123">
        <f t="shared" si="170"/>
        <v>0.20844090772156249</v>
      </c>
      <c r="EU45" s="123">
        <f t="shared" si="171"/>
        <v>0.46821916611847436</v>
      </c>
      <c r="EV45" s="123"/>
      <c r="EW45" s="123" t="s">
        <v>398</v>
      </c>
      <c r="EX45" s="123"/>
      <c r="EY45" s="103" t="s">
        <v>216</v>
      </c>
      <c r="EZ45" s="98"/>
      <c r="FA45" s="7"/>
      <c r="FB45" s="111">
        <f>SUM(FB42:FB44)</f>
        <v>186411.6</v>
      </c>
      <c r="FC45" s="113">
        <f t="shared" ref="FC45:FD45" si="199">SUM(FC42:FC44)</f>
        <v>316810.7</v>
      </c>
      <c r="FD45" s="109">
        <f t="shared" si="199"/>
        <v>138357.1</v>
      </c>
      <c r="FE45" s="102">
        <f>SUM(FE42:FE44)</f>
        <v>641579.4</v>
      </c>
      <c r="FF45" s="123">
        <f t="shared" si="173"/>
        <v>0.27494230680953524</v>
      </c>
      <c r="FG45" s="123">
        <f t="shared" si="174"/>
        <v>0.58840058116723959</v>
      </c>
      <c r="FH45" s="123"/>
      <c r="FI45" s="123" t="s">
        <v>398</v>
      </c>
      <c r="FJ45" s="123"/>
      <c r="FK45" s="103" t="s">
        <v>216</v>
      </c>
      <c r="FL45" s="98"/>
    </row>
    <row r="46" spans="1:168" ht="15.75" thickTop="1">
      <c r="A46" s="4" t="s">
        <v>5</v>
      </c>
      <c r="B46" s="5">
        <v>144.31100000000001</v>
      </c>
      <c r="C46" s="5">
        <v>290.37</v>
      </c>
      <c r="D46" s="5">
        <v>52.538600000000002</v>
      </c>
      <c r="E46" s="108">
        <f t="shared" si="176"/>
        <v>487.21960000000001</v>
      </c>
      <c r="F46" s="123">
        <f t="shared" si="177"/>
        <v>0.12086702662412205</v>
      </c>
      <c r="G46" s="123">
        <f t="shared" si="178"/>
        <v>0.49699004718118267</v>
      </c>
      <c r="J46" s="123">
        <f t="shared" si="179"/>
        <v>0.1</v>
      </c>
      <c r="K46" s="103" t="s">
        <v>215</v>
      </c>
      <c r="L46" s="98" t="s">
        <v>243</v>
      </c>
      <c r="S46" s="4" t="s">
        <v>5</v>
      </c>
      <c r="T46" s="5">
        <v>322.84300000000002</v>
      </c>
      <c r="U46" s="5">
        <v>592.82600000000002</v>
      </c>
      <c r="V46" s="5">
        <v>240.374</v>
      </c>
      <c r="W46" s="108">
        <f t="shared" si="180"/>
        <v>1156.0430000000001</v>
      </c>
      <c r="X46" s="123">
        <f t="shared" si="181"/>
        <v>0.26251189021360333</v>
      </c>
      <c r="Y46" s="123">
        <f t="shared" si="182"/>
        <v>0.54458306484533403</v>
      </c>
      <c r="AB46" s="123">
        <f t="shared" si="183"/>
        <v>0.05</v>
      </c>
      <c r="AC46" s="103" t="s">
        <v>215</v>
      </c>
      <c r="AD46" s="98" t="s">
        <v>243</v>
      </c>
      <c r="AJ46" s="4" t="s">
        <v>5</v>
      </c>
      <c r="AK46" s="5">
        <v>604.41999999999996</v>
      </c>
      <c r="AL46" s="5">
        <v>1121.1300000000001</v>
      </c>
      <c r="AM46" s="5">
        <v>181.33799999999999</v>
      </c>
      <c r="AN46" s="108">
        <f t="shared" si="184"/>
        <v>1906.8880000000001</v>
      </c>
      <c r="AO46" s="123">
        <f t="shared" si="185"/>
        <v>0.10508997131349423</v>
      </c>
      <c r="AP46" s="123">
        <f t="shared" si="186"/>
        <v>0.53911678395904128</v>
      </c>
      <c r="AT46" s="123">
        <f t="shared" ref="AT46" si="200">AT45</f>
        <v>0.03</v>
      </c>
      <c r="AU46" s="103" t="s">
        <v>215</v>
      </c>
      <c r="AV46" s="98" t="s">
        <v>243</v>
      </c>
      <c r="AX46" s="123">
        <f t="shared" ref="AX46:AY46" si="201">O41</f>
        <v>0.60159075333327117</v>
      </c>
      <c r="AY46" s="123">
        <f t="shared" si="201"/>
        <v>0.41960199999999997</v>
      </c>
      <c r="BG46" s="4" t="s">
        <v>5</v>
      </c>
      <c r="BH46" s="5">
        <v>421.834</v>
      </c>
      <c r="BI46" s="5">
        <v>805.048</v>
      </c>
      <c r="BJ46" s="5">
        <v>591.87599999999998</v>
      </c>
      <c r="BK46" s="108">
        <f t="shared" si="189"/>
        <v>1818.758</v>
      </c>
      <c r="BL46" s="123">
        <f t="shared" si="190"/>
        <v>0.48242292249784408</v>
      </c>
      <c r="BM46" s="123">
        <f t="shared" si="191"/>
        <v>0.52398614740984384</v>
      </c>
      <c r="BN46" s="123"/>
      <c r="BO46" s="123"/>
      <c r="BP46" s="123"/>
      <c r="BQ46" s="123">
        <f t="shared" ref="BQ46" si="202">BQ45</f>
        <v>1.4999999999999999E-2</v>
      </c>
      <c r="BR46" s="103" t="s">
        <v>215</v>
      </c>
      <c r="BS46" s="98" t="s">
        <v>243</v>
      </c>
      <c r="CC46" s="4" t="s">
        <v>5</v>
      </c>
      <c r="CD46" s="5">
        <v>424.67599999999999</v>
      </c>
      <c r="CE46" s="5">
        <v>857.06700000000001</v>
      </c>
      <c r="CF46" s="5">
        <v>1164.99</v>
      </c>
      <c r="CG46" s="108">
        <f t="shared" si="193"/>
        <v>2446.7330000000002</v>
      </c>
      <c r="CH46" s="123">
        <f t="shared" si="194"/>
        <v>0.90891075668055143</v>
      </c>
      <c r="CI46" s="123">
        <f t="shared" si="195"/>
        <v>0.49549918501120682</v>
      </c>
      <c r="CM46" s="123">
        <f t="shared" ref="CM46" si="203">CM45</f>
        <v>7.0000000000000001E-3</v>
      </c>
      <c r="CN46" s="103" t="s">
        <v>215</v>
      </c>
      <c r="CO46" s="98" t="s">
        <v>243</v>
      </c>
      <c r="EC46" s="130"/>
      <c r="ED46" s="123"/>
      <c r="EE46" s="123"/>
      <c r="EF46" s="123"/>
      <c r="EG46" s="123"/>
      <c r="EH46" s="124" t="s">
        <v>420</v>
      </c>
      <c r="EI46" s="103">
        <f>AVERAGE(EI42:EI44)</f>
        <v>113.65248551468606</v>
      </c>
      <c r="EJ46" s="123"/>
      <c r="EK46" s="123" t="s">
        <v>399</v>
      </c>
      <c r="EL46" s="123"/>
      <c r="EM46" s="103" t="s">
        <v>217</v>
      </c>
      <c r="EN46" s="98"/>
      <c r="EO46" s="130"/>
      <c r="EP46" s="123"/>
      <c r="EQ46" s="123"/>
      <c r="ER46" s="123"/>
      <c r="ES46" s="123"/>
      <c r="ET46" s="124" t="s">
        <v>420</v>
      </c>
      <c r="EU46" s="103">
        <f>AVERAGE(EU42:EU44)</f>
        <v>0.43433853987596788</v>
      </c>
      <c r="EV46" s="123"/>
      <c r="EW46" s="123" t="s">
        <v>399</v>
      </c>
      <c r="EX46" s="123"/>
      <c r="EY46" s="103" t="s">
        <v>217</v>
      </c>
      <c r="EZ46" s="98"/>
      <c r="FA46" s="130"/>
      <c r="FB46" s="123"/>
      <c r="FC46" s="123"/>
      <c r="FD46" s="123"/>
      <c r="FE46" s="123"/>
      <c r="FF46" s="124" t="s">
        <v>420</v>
      </c>
      <c r="FG46" s="103">
        <f>AVERAGE(FG42:FG44)</f>
        <v>0.57099614386151198</v>
      </c>
      <c r="FH46" s="123"/>
      <c r="FI46" s="123" t="s">
        <v>399</v>
      </c>
      <c r="FJ46" s="123"/>
      <c r="FK46" s="103" t="s">
        <v>217</v>
      </c>
      <c r="FL46" s="98"/>
    </row>
    <row r="47" spans="1:168" ht="15.75" thickBot="1">
      <c r="A47" s="7"/>
      <c r="B47" s="111">
        <f>SUM(B44:B46)</f>
        <v>1350.0409999999999</v>
      </c>
      <c r="C47" s="113">
        <f t="shared" ref="C47:D47" si="204">SUM(C44:C46)</f>
        <v>2680.9960000000001</v>
      </c>
      <c r="D47" s="109">
        <f t="shared" si="204"/>
        <v>487.21960000000001</v>
      </c>
      <c r="E47" s="102">
        <f>SUM(E44:E46)</f>
        <v>4518.2566000000006</v>
      </c>
      <c r="F47" s="123">
        <f t="shared" si="177"/>
        <v>0.12086706224725796</v>
      </c>
      <c r="G47" s="123">
        <f t="shared" si="178"/>
        <v>0.50355949803729649</v>
      </c>
      <c r="J47" s="123">
        <f t="shared" si="179"/>
        <v>0.1</v>
      </c>
      <c r="K47" s="103" t="s">
        <v>216</v>
      </c>
      <c r="L47" s="98" t="s">
        <v>244</v>
      </c>
      <c r="S47" s="7"/>
      <c r="T47" s="111">
        <f>SUM(T44:T46)</f>
        <v>1627.2340000000002</v>
      </c>
      <c r="U47" s="113">
        <f t="shared" ref="U47:V47" si="205">SUM(U44:U46)</f>
        <v>2776.5389999999998</v>
      </c>
      <c r="V47" s="109">
        <f t="shared" si="205"/>
        <v>1156.0430000000001</v>
      </c>
      <c r="W47" s="102">
        <f>SUM(W44:W46)</f>
        <v>5559.8159999999989</v>
      </c>
      <c r="X47" s="123">
        <f t="shared" si="181"/>
        <v>0.26251194146473944</v>
      </c>
      <c r="Y47" s="123">
        <f t="shared" si="182"/>
        <v>0.58606560181578582</v>
      </c>
      <c r="AB47" s="123">
        <f t="shared" si="183"/>
        <v>0.05</v>
      </c>
      <c r="AC47" s="103" t="s">
        <v>216</v>
      </c>
      <c r="AD47" s="98" t="s">
        <v>244</v>
      </c>
      <c r="AJ47" s="7"/>
      <c r="AK47" s="111">
        <f>SUM(AK44:AK46)</f>
        <v>6207.75</v>
      </c>
      <c r="AL47" s="113">
        <f t="shared" ref="AL47:AM47" si="206">SUM(AL44:AL46)</f>
        <v>11937.470000000001</v>
      </c>
      <c r="AM47" s="109">
        <f t="shared" si="206"/>
        <v>1906.884</v>
      </c>
      <c r="AN47" s="102">
        <f>SUM(AN44:AN46)</f>
        <v>20052.103999999999</v>
      </c>
      <c r="AO47" s="123">
        <f t="shared" si="185"/>
        <v>0.10509015597496199</v>
      </c>
      <c r="AP47" s="123">
        <f t="shared" si="186"/>
        <v>0.52002224927057406</v>
      </c>
      <c r="AT47" s="123">
        <f t="shared" ref="AT47" si="207">AT46</f>
        <v>0.03</v>
      </c>
      <c r="AU47" s="103" t="s">
        <v>216</v>
      </c>
      <c r="AV47" s="98" t="s">
        <v>244</v>
      </c>
      <c r="AX47" s="123">
        <f t="shared" ref="AX47:AY47" si="208">O42</f>
        <v>0.66822115375525393</v>
      </c>
      <c r="AY47" s="123">
        <f t="shared" si="208"/>
        <v>0.44540299999999999</v>
      </c>
      <c r="BG47" s="7"/>
      <c r="BH47" s="111">
        <f>SUM(BH44:BH46)</f>
        <v>1274.325</v>
      </c>
      <c r="BI47" s="113">
        <f t="shared" ref="BI47:BJ47" si="209">SUM(BI44:BI46)</f>
        <v>2495.7290000000003</v>
      </c>
      <c r="BJ47" s="109">
        <f t="shared" si="209"/>
        <v>1818.759</v>
      </c>
      <c r="BK47" s="102">
        <f>SUM(BK44:BK46)</f>
        <v>5588.8130000000001</v>
      </c>
      <c r="BL47" s="123">
        <f t="shared" si="190"/>
        <v>0.48242253293984649</v>
      </c>
      <c r="BM47" s="123">
        <f t="shared" si="191"/>
        <v>0.51060231299151471</v>
      </c>
      <c r="BN47" s="123"/>
      <c r="BO47" s="123"/>
      <c r="BP47" s="123"/>
      <c r="BQ47" s="123">
        <f t="shared" ref="BQ47" si="210">BQ46</f>
        <v>1.4999999999999999E-2</v>
      </c>
      <c r="BR47" s="103" t="s">
        <v>216</v>
      </c>
      <c r="BS47" s="98" t="s">
        <v>244</v>
      </c>
      <c r="CC47" s="7"/>
      <c r="CD47" s="111">
        <f>SUM(CD44:CD46)</f>
        <v>897.26199999999994</v>
      </c>
      <c r="CE47" s="113">
        <f t="shared" ref="CE47:CF47" si="211">SUM(CE44:CE46)</f>
        <v>1794.674</v>
      </c>
      <c r="CF47" s="109">
        <f t="shared" si="211"/>
        <v>2446.732</v>
      </c>
      <c r="CG47" s="102">
        <f>SUM(CG44:CG46)</f>
        <v>5138.6679999999997</v>
      </c>
      <c r="CH47" s="123">
        <f t="shared" si="194"/>
        <v>0.90891165317451839</v>
      </c>
      <c r="CI47" s="123">
        <f t="shared" si="195"/>
        <v>0.49995820968042104</v>
      </c>
      <c r="CM47" s="123">
        <f t="shared" ref="CM47" si="212">CM46</f>
        <v>7.0000000000000001E-3</v>
      </c>
      <c r="CN47" s="103" t="s">
        <v>216</v>
      </c>
      <c r="CO47" s="98" t="s">
        <v>244</v>
      </c>
      <c r="EC47" s="130" t="s">
        <v>12</v>
      </c>
      <c r="ED47" s="123">
        <f>ED42/ED34</f>
        <v>0.9972476399719935</v>
      </c>
      <c r="EE47" s="123" t="s">
        <v>163</v>
      </c>
      <c r="EF47" s="123">
        <f>EE42/EE34</f>
        <v>1.0008167190791684</v>
      </c>
      <c r="EG47" s="124" t="s">
        <v>255</v>
      </c>
      <c r="EH47" s="123"/>
      <c r="EI47" s="123"/>
      <c r="EJ47" s="123"/>
      <c r="EK47" s="123"/>
      <c r="EL47" s="124" t="s">
        <v>423</v>
      </c>
      <c r="EM47" s="123"/>
      <c r="EN47" s="98"/>
      <c r="EO47" s="130" t="s">
        <v>12</v>
      </c>
      <c r="EP47" s="123">
        <f>EP42/EP34</f>
        <v>0.97599782554002079</v>
      </c>
      <c r="EQ47" s="123" t="s">
        <v>163</v>
      </c>
      <c r="ER47" s="123">
        <f>EQ42/EQ34</f>
        <v>1.015608016792708</v>
      </c>
      <c r="ES47" s="124" t="s">
        <v>255</v>
      </c>
      <c r="ET47" s="123"/>
      <c r="EU47" s="123"/>
      <c r="EV47" s="123"/>
      <c r="EW47" s="123"/>
      <c r="EX47" s="124" t="s">
        <v>423</v>
      </c>
      <c r="EY47" s="123"/>
      <c r="EZ47" s="98"/>
      <c r="FA47" s="130" t="s">
        <v>12</v>
      </c>
      <c r="FB47" s="123">
        <f>FB42/FB34</f>
        <v>0.96474205091341203</v>
      </c>
      <c r="FC47" s="123" t="s">
        <v>163</v>
      </c>
      <c r="FD47" s="123">
        <f>FC42/FC34</f>
        <v>1.0212730349405881</v>
      </c>
      <c r="FE47" s="124" t="s">
        <v>255</v>
      </c>
      <c r="FF47" s="123"/>
      <c r="FG47" s="123"/>
      <c r="FH47" s="123"/>
      <c r="FI47" s="123"/>
      <c r="FJ47" s="124" t="s">
        <v>423</v>
      </c>
      <c r="FK47" s="123"/>
      <c r="FL47" s="98"/>
    </row>
    <row r="48" spans="1:168" ht="15.75" thickTop="1">
      <c r="A48" s="130"/>
      <c r="F48" s="124" t="s">
        <v>420</v>
      </c>
      <c r="G48" s="103">
        <f>AVERAGE(G44:G46)</f>
        <v>0.51286670731209982</v>
      </c>
      <c r="J48" s="123">
        <f t="shared" si="179"/>
        <v>0.1</v>
      </c>
      <c r="K48" s="103" t="s">
        <v>217</v>
      </c>
      <c r="L48" s="98" t="s">
        <v>245</v>
      </c>
      <c r="X48" s="124" t="s">
        <v>420</v>
      </c>
      <c r="Y48" s="103">
        <f>AVERAGE(Y44:Y46)</f>
        <v>0.57552000063961228</v>
      </c>
      <c r="AB48" s="123">
        <f t="shared" si="183"/>
        <v>0.05</v>
      </c>
      <c r="AC48" s="103" t="s">
        <v>217</v>
      </c>
      <c r="AD48" s="98" t="s">
        <v>245</v>
      </c>
      <c r="AO48" s="124" t="s">
        <v>420</v>
      </c>
      <c r="AP48" s="103">
        <f>AVERAGE(AP44:AP46)</f>
        <v>0.52301943147962193</v>
      </c>
      <c r="AT48" s="123">
        <f t="shared" ref="AT48" si="213">AT47</f>
        <v>0.03</v>
      </c>
      <c r="AU48" s="103" t="s">
        <v>217</v>
      </c>
      <c r="AV48" s="98" t="s">
        <v>245</v>
      </c>
      <c r="AX48" s="123">
        <f t="shared" ref="AX48:AY48" si="214">O43</f>
        <v>0.7572201953793517</v>
      </c>
      <c r="AY48" s="123">
        <f t="shared" si="214"/>
        <v>0.49345699999999998</v>
      </c>
      <c r="BG48" s="130"/>
      <c r="BH48" s="123"/>
      <c r="BI48" s="123"/>
      <c r="BJ48" s="123"/>
      <c r="BK48" s="123"/>
      <c r="BL48" s="124" t="s">
        <v>420</v>
      </c>
      <c r="BM48" s="103">
        <f>AVERAGE(BM44:BM46)</f>
        <v>0.513312170955745</v>
      </c>
      <c r="BN48" s="123"/>
      <c r="BO48" s="123"/>
      <c r="BP48" s="123"/>
      <c r="BQ48" s="123">
        <f t="shared" ref="BQ48" si="215">BQ47</f>
        <v>1.4999999999999999E-2</v>
      </c>
      <c r="BR48" s="103" t="s">
        <v>217</v>
      </c>
      <c r="BS48" s="98" t="s">
        <v>245</v>
      </c>
      <c r="CC48" s="130"/>
      <c r="CH48" s="124" t="s">
        <v>420</v>
      </c>
      <c r="CI48" s="103">
        <f>AVERAGE(CI44:CI46)</f>
        <v>0.50027528924064368</v>
      </c>
      <c r="CM48" s="123">
        <f t="shared" ref="CM48" si="216">CM47</f>
        <v>7.0000000000000001E-3</v>
      </c>
      <c r="CN48" s="103" t="s">
        <v>217</v>
      </c>
      <c r="CO48" s="98" t="s">
        <v>245</v>
      </c>
      <c r="EC48" s="130" t="s">
        <v>13</v>
      </c>
      <c r="ED48" s="123">
        <f t="shared" ref="ED48:ED49" si="217">ED43/ED35</f>
        <v>0.99723154362416111</v>
      </c>
      <c r="EE48" s="123" t="s">
        <v>164</v>
      </c>
      <c r="EF48" s="123">
        <f t="shared" ref="EF48:EF49" si="218">EE43/EE35</f>
        <v>1.0008168042229997</v>
      </c>
      <c r="EG48" s="123">
        <f>VAR(EI34:EI36)</f>
        <v>2352.946546067451</v>
      </c>
      <c r="EH48" s="124">
        <f>STDEV(EI34:EI36)/EI38</f>
        <v>0.42527545468587391</v>
      </c>
      <c r="EI48" s="124" t="s">
        <v>449</v>
      </c>
      <c r="EJ48" s="123"/>
      <c r="EK48" s="123"/>
      <c r="EL48" s="123" t="s">
        <v>415</v>
      </c>
      <c r="EM48" s="123"/>
      <c r="EN48" s="98"/>
      <c r="EO48" s="130" t="s">
        <v>13</v>
      </c>
      <c r="EP48" s="123">
        <f t="shared" ref="EP48:EP49" si="219">EP43/EP35</f>
        <v>0.97602978184469791</v>
      </c>
      <c r="EQ48" s="123" t="s">
        <v>164</v>
      </c>
      <c r="ER48" s="123">
        <f t="shared" ref="ER48:ER49" si="220">EQ43/EQ35</f>
        <v>1.0156091825268994</v>
      </c>
      <c r="ES48" s="123">
        <f>VAR(EU34:EU36)</f>
        <v>3.5947947783880441E-2</v>
      </c>
      <c r="ET48" s="124">
        <f>STDEV(EU34:EU36)/EU38</f>
        <v>0.41950827294542914</v>
      </c>
      <c r="EU48" s="124" t="s">
        <v>449</v>
      </c>
      <c r="EV48" s="123"/>
      <c r="EW48" s="123"/>
      <c r="EX48" s="123" t="s">
        <v>415</v>
      </c>
      <c r="EY48" s="123"/>
      <c r="EZ48" s="98"/>
      <c r="FA48" s="130" t="s">
        <v>13</v>
      </c>
      <c r="FB48" s="123">
        <f t="shared" ref="FB48:FB49" si="221">FB43/FB35</f>
        <v>0.96474167340766015</v>
      </c>
      <c r="FC48" s="123" t="s">
        <v>164</v>
      </c>
      <c r="FD48" s="123">
        <f t="shared" ref="FD48:FD49" si="222">FC43/FC35</f>
        <v>1.0212690796155375</v>
      </c>
      <c r="FE48" s="123">
        <f>VAR(FG34:FG36)</f>
        <v>5.9513077915474999E-2</v>
      </c>
      <c r="FF48" s="124">
        <f>STDEV(FG34:FG36)/FG38</f>
        <v>0.40359593209885741</v>
      </c>
      <c r="FG48" s="124" t="s">
        <v>449</v>
      </c>
      <c r="FH48" s="123"/>
      <c r="FI48" s="123"/>
      <c r="FJ48" s="123" t="s">
        <v>415</v>
      </c>
      <c r="FK48" s="123"/>
      <c r="FL48" s="98"/>
    </row>
    <row r="49" spans="1:168">
      <c r="A49" s="130" t="s">
        <v>12</v>
      </c>
      <c r="B49" s="123">
        <f>B44/B36</f>
        <v>1.0071160148467941</v>
      </c>
      <c r="C49" s="123" t="s">
        <v>163</v>
      </c>
      <c r="D49" s="123">
        <f>C44/C36</f>
        <v>0.99785680998303372</v>
      </c>
      <c r="E49" s="124" t="s">
        <v>255</v>
      </c>
      <c r="J49" s="124" t="s">
        <v>246</v>
      </c>
      <c r="L49" s="98"/>
      <c r="S49" s="130" t="s">
        <v>12</v>
      </c>
      <c r="T49" s="123">
        <f>T44/T36</f>
        <v>1.0008666293922843</v>
      </c>
      <c r="U49" s="123" t="s">
        <v>163</v>
      </c>
      <c r="V49" s="123">
        <f>U44/U36</f>
        <v>1.0081747238566774</v>
      </c>
      <c r="W49" s="124" t="s">
        <v>255</v>
      </c>
      <c r="AB49" s="124" t="s">
        <v>246</v>
      </c>
      <c r="AD49" s="98"/>
      <c r="AJ49" s="130" t="s">
        <v>12</v>
      </c>
      <c r="AK49" s="123">
        <f>AK44/AK36</f>
        <v>0.99785612196283946</v>
      </c>
      <c r="AL49" s="123" t="s">
        <v>163</v>
      </c>
      <c r="AM49" s="123">
        <f>AL44/AL36</f>
        <v>0.99909790054420422</v>
      </c>
      <c r="AN49" s="124" t="s">
        <v>255</v>
      </c>
      <c r="AT49" s="124" t="s">
        <v>246</v>
      </c>
      <c r="AV49" s="98"/>
      <c r="AX49" s="123">
        <f>O44</f>
        <v>0.77015110980857304</v>
      </c>
      <c r="AY49" s="123">
        <f>P44</f>
        <v>0.51344599999999996</v>
      </c>
      <c r="BG49" s="130" t="s">
        <v>12</v>
      </c>
      <c r="BH49" s="123">
        <f>BH44/BH36</f>
        <v>0.9990343617607258</v>
      </c>
      <c r="BI49" s="123" t="s">
        <v>163</v>
      </c>
      <c r="BJ49" s="123">
        <f>BI44/BI36</f>
        <v>0.99422933305218031</v>
      </c>
      <c r="BK49" s="124" t="s">
        <v>255</v>
      </c>
      <c r="BL49" s="123"/>
      <c r="BM49" s="123"/>
      <c r="BN49" s="123"/>
      <c r="BO49" s="123"/>
      <c r="BP49" s="123"/>
      <c r="BQ49" s="124" t="s">
        <v>246</v>
      </c>
      <c r="BR49" s="123"/>
      <c r="BS49" s="98"/>
      <c r="CC49" s="130" t="s">
        <v>12</v>
      </c>
      <c r="CD49" s="123">
        <f>CD44/CD36</f>
        <v>1.0011652623761109</v>
      </c>
      <c r="CE49" s="123" t="s">
        <v>163</v>
      </c>
      <c r="CF49" s="123">
        <f>CE44/CE36</f>
        <v>1.0037954186161122</v>
      </c>
      <c r="CG49" s="124" t="s">
        <v>255</v>
      </c>
      <c r="CM49" s="124" t="s">
        <v>246</v>
      </c>
      <c r="CO49" s="98"/>
      <c r="EC49" s="130" t="s">
        <v>14</v>
      </c>
      <c r="ED49" s="123">
        <f t="shared" si="217"/>
        <v>0.99723403417591949</v>
      </c>
      <c r="EE49" s="123" t="s">
        <v>165</v>
      </c>
      <c r="EF49" s="123">
        <f t="shared" si="218"/>
        <v>1.0008159647728312</v>
      </c>
      <c r="EG49" s="123">
        <f>EG48/EI38</f>
        <v>20.62891318133088</v>
      </c>
      <c r="EH49" s="123"/>
      <c r="EI49" s="124" t="s">
        <v>438</v>
      </c>
      <c r="EJ49" s="123"/>
      <c r="EK49" s="123"/>
      <c r="EL49" s="123" t="s">
        <v>403</v>
      </c>
      <c r="EM49" s="123">
        <v>1</v>
      </c>
      <c r="EN49" s="98" t="s">
        <v>416</v>
      </c>
      <c r="EO49" s="130" t="s">
        <v>14</v>
      </c>
      <c r="EP49" s="123">
        <f t="shared" si="219"/>
        <v>0.97601526660561799</v>
      </c>
      <c r="EQ49" s="123" t="s">
        <v>165</v>
      </c>
      <c r="ER49" s="123">
        <f t="shared" si="220"/>
        <v>1.0156078029817617</v>
      </c>
      <c r="ES49" s="123">
        <f>ES48/EU38</f>
        <v>7.9538533775798295E-2</v>
      </c>
      <c r="ET49" s="123"/>
      <c r="EU49" s="124" t="s">
        <v>438</v>
      </c>
      <c r="EV49" s="123"/>
      <c r="EW49" s="123"/>
      <c r="EX49" s="123" t="s">
        <v>403</v>
      </c>
      <c r="EY49" s="123">
        <v>1</v>
      </c>
      <c r="EZ49" s="98" t="s">
        <v>416</v>
      </c>
      <c r="FA49" s="130" t="s">
        <v>14</v>
      </c>
      <c r="FB49" s="123">
        <f t="shared" si="221"/>
        <v>0.96476136695364212</v>
      </c>
      <c r="FC49" s="123" t="s">
        <v>165</v>
      </c>
      <c r="FD49" s="123">
        <f t="shared" si="222"/>
        <v>1.0212682164227829</v>
      </c>
      <c r="FE49" s="123">
        <f>FE48/FG38</f>
        <v>9.8458448106910332E-2</v>
      </c>
      <c r="FF49" s="123"/>
      <c r="FG49" s="124" t="s">
        <v>438</v>
      </c>
      <c r="FH49" s="123"/>
      <c r="FI49" s="123"/>
      <c r="FJ49" s="123" t="s">
        <v>403</v>
      </c>
      <c r="FK49" s="123">
        <v>1</v>
      </c>
      <c r="FL49" s="98" t="s">
        <v>416</v>
      </c>
    </row>
    <row r="50" spans="1:168">
      <c r="A50" s="130" t="s">
        <v>13</v>
      </c>
      <c r="B50" s="123">
        <f t="shared" ref="B50:B51" si="223">B45/B37</f>
        <v>1.0043633090709869</v>
      </c>
      <c r="C50" s="123" t="s">
        <v>164</v>
      </c>
      <c r="D50" s="123">
        <f t="shared" ref="D50:D51" si="224">C45/C37</f>
        <v>0.99794495683794082</v>
      </c>
      <c r="E50" s="123">
        <f>VAR(G36:G38)</f>
        <v>2.2136246188163011E-3</v>
      </c>
      <c r="F50" s="124">
        <f>STDEV(G36:G38)/G40</f>
        <v>9.2481313962705022E-2</v>
      </c>
      <c r="G50" s="124" t="s">
        <v>449</v>
      </c>
      <c r="L50" s="98"/>
      <c r="S50" s="130" t="s">
        <v>13</v>
      </c>
      <c r="T50" s="123">
        <f t="shared" ref="T50:T51" si="225">T45/T37</f>
        <v>1.0015531231384309</v>
      </c>
      <c r="U50" s="123" t="s">
        <v>164</v>
      </c>
      <c r="V50" s="123">
        <f t="shared" ref="V50:V51" si="226">U45/U37</f>
        <v>1.0080555514384384</v>
      </c>
      <c r="W50" s="123">
        <f>VAR(Y36:Y38)</f>
        <v>1.3923033134138896E-3</v>
      </c>
      <c r="X50" s="124">
        <f>STDEV(Y36:Y38)/Y40</f>
        <v>6.4394894825041751E-2</v>
      </c>
      <c r="Y50" s="124" t="s">
        <v>449</v>
      </c>
      <c r="AD50" s="98"/>
      <c r="AJ50" s="130" t="s">
        <v>13</v>
      </c>
      <c r="AK50" s="123">
        <f t="shared" ref="AK50:AK51" si="227">AK45/AK37</f>
        <v>0.99785040885169973</v>
      </c>
      <c r="AL50" s="123" t="s">
        <v>164</v>
      </c>
      <c r="AM50" s="123">
        <f t="shared" ref="AM50:AM51" si="228">AL45/AL37</f>
        <v>0.99901142153634392</v>
      </c>
      <c r="AN50" s="123">
        <f>VAR(AP36:AP38)</f>
        <v>2.913309792400067E-4</v>
      </c>
      <c r="AO50" s="124">
        <f>STDEV(AP36:AP38)/AP40</f>
        <v>3.2597250432513845E-2</v>
      </c>
      <c r="AP50" s="124" t="s">
        <v>449</v>
      </c>
      <c r="AV50" s="98"/>
      <c r="AX50" s="123">
        <f>AG35</f>
        <v>0.36630875928927431</v>
      </c>
      <c r="AY50" s="123">
        <f>AH35</f>
        <v>0.23080200000000001</v>
      </c>
      <c r="BG50" s="130" t="s">
        <v>13</v>
      </c>
      <c r="BH50" s="123">
        <f t="shared" ref="BH50:BH51" si="229">BH45/BH37</f>
        <v>0.99892538487671434</v>
      </c>
      <c r="BI50" s="123" t="s">
        <v>164</v>
      </c>
      <c r="BJ50" s="123">
        <f t="shared" ref="BJ50:BJ51" si="230">BI45/BI37</f>
        <v>0.99416693180613014</v>
      </c>
      <c r="BK50" s="123">
        <f>VAR(BM36:BM38)</f>
        <v>2.0832758488368436E-4</v>
      </c>
      <c r="BL50" s="124">
        <f>STDEV(BM36:BM38)/BM40</f>
        <v>2.8259218699209471E-2</v>
      </c>
      <c r="BM50" s="124" t="s">
        <v>449</v>
      </c>
      <c r="BN50" s="123"/>
      <c r="BO50" s="123"/>
      <c r="BP50" s="123"/>
      <c r="BQ50" s="123"/>
      <c r="BR50" s="123"/>
      <c r="BS50" s="98"/>
      <c r="CC50" s="130" t="s">
        <v>13</v>
      </c>
      <c r="CD50" s="123">
        <f t="shared" ref="CD50:CD51" si="231">CD45/CD37</f>
        <v>1.0012253466274472</v>
      </c>
      <c r="CE50" s="123" t="s">
        <v>164</v>
      </c>
      <c r="CF50" s="123">
        <f t="shared" ref="CF50:CF51" si="232">CE45/CE37</f>
        <v>1.0037015111688796</v>
      </c>
      <c r="CG50" s="123">
        <f>VAR(CI36:CI38)</f>
        <v>3.4019631802319772E-5</v>
      </c>
      <c r="CH50" s="124">
        <f>STDEV(CI36:CI38)/CI40</f>
        <v>1.1629032777553717E-2</v>
      </c>
      <c r="CI50" s="124" t="s">
        <v>449</v>
      </c>
      <c r="CO50" s="98"/>
      <c r="EC50" s="130" t="s">
        <v>15</v>
      </c>
      <c r="ED50" s="123">
        <f>EG42/EG34</f>
        <v>0.99724730902855707</v>
      </c>
      <c r="EE50" s="123" t="s">
        <v>67</v>
      </c>
      <c r="EF50" s="123">
        <f>EG43/EG35</f>
        <v>1.0008128257059048</v>
      </c>
      <c r="EG50" s="124" t="s">
        <v>256</v>
      </c>
      <c r="EH50" s="123"/>
      <c r="EI50" s="123"/>
      <c r="EJ50" s="123"/>
      <c r="EK50" s="123"/>
      <c r="EL50" s="123" t="s">
        <v>401</v>
      </c>
      <c r="EM50" s="123">
        <v>500</v>
      </c>
      <c r="EN50" s="98" t="s">
        <v>417</v>
      </c>
      <c r="EO50" s="130" t="s">
        <v>15</v>
      </c>
      <c r="EP50" s="123">
        <f>ES42/ES34</f>
        <v>0.97601960890828177</v>
      </c>
      <c r="EQ50" s="123" t="s">
        <v>67</v>
      </c>
      <c r="ER50" s="123">
        <f>ES43/ES35</f>
        <v>1.0156098471687056</v>
      </c>
      <c r="ES50" s="124" t="s">
        <v>256</v>
      </c>
      <c r="ET50" s="123"/>
      <c r="EU50" s="123"/>
      <c r="EV50" s="123"/>
      <c r="EW50" s="123"/>
      <c r="EX50" s="123" t="s">
        <v>401</v>
      </c>
      <c r="EY50" s="123">
        <v>500</v>
      </c>
      <c r="EZ50" s="98" t="s">
        <v>417</v>
      </c>
      <c r="FA50" s="130" t="s">
        <v>15</v>
      </c>
      <c r="FB50" s="123">
        <f>FE42/FE34</f>
        <v>0.96474855775675106</v>
      </c>
      <c r="FC50" s="123" t="s">
        <v>67</v>
      </c>
      <c r="FD50" s="123">
        <f>FE43/FE35</f>
        <v>1.0212686396361723</v>
      </c>
      <c r="FE50" s="124" t="s">
        <v>256</v>
      </c>
      <c r="FF50" s="123"/>
      <c r="FG50" s="123"/>
      <c r="FH50" s="123"/>
      <c r="FI50" s="123"/>
      <c r="FJ50" s="123" t="s">
        <v>401</v>
      </c>
      <c r="FK50" s="123">
        <v>500</v>
      </c>
      <c r="FL50" s="98" t="s">
        <v>417</v>
      </c>
    </row>
    <row r="51" spans="1:168">
      <c r="A51" s="130" t="s">
        <v>14</v>
      </c>
      <c r="B51" s="123">
        <f t="shared" si="223"/>
        <v>1.0061423690999094</v>
      </c>
      <c r="C51" s="123" t="s">
        <v>165</v>
      </c>
      <c r="D51" s="123">
        <f t="shared" si="224"/>
        <v>0.99778704804579843</v>
      </c>
      <c r="G51" s="124" t="s">
        <v>438</v>
      </c>
      <c r="L51" s="98"/>
      <c r="S51" s="130" t="s">
        <v>14</v>
      </c>
      <c r="T51" s="123">
        <f t="shared" si="225"/>
        <v>1.0025090440480071</v>
      </c>
      <c r="U51" s="123" t="s">
        <v>165</v>
      </c>
      <c r="V51" s="123">
        <f t="shared" si="226"/>
        <v>1.0092407532882304</v>
      </c>
      <c r="Y51" s="124" t="s">
        <v>438</v>
      </c>
      <c r="AD51" s="98"/>
      <c r="AJ51" s="130" t="s">
        <v>14</v>
      </c>
      <c r="AK51" s="123">
        <f t="shared" si="227"/>
        <v>0.99803998302529529</v>
      </c>
      <c r="AL51" s="123" t="s">
        <v>165</v>
      </c>
      <c r="AM51" s="123">
        <f t="shared" si="228"/>
        <v>0.99905541842290524</v>
      </c>
      <c r="AP51" s="124" t="s">
        <v>438</v>
      </c>
      <c r="AV51" s="98"/>
      <c r="AX51" s="123">
        <f t="shared" ref="AX51:AY51" si="233">AG36</f>
        <v>0.41983516635168094</v>
      </c>
      <c r="AY51" s="123">
        <f t="shared" si="233"/>
        <v>0.26251200000000002</v>
      </c>
      <c r="BG51" s="130" t="s">
        <v>14</v>
      </c>
      <c r="BH51" s="123">
        <f t="shared" si="229"/>
        <v>0.99935561209743529</v>
      </c>
      <c r="BI51" s="123" t="s">
        <v>165</v>
      </c>
      <c r="BJ51" s="123">
        <f t="shared" si="230"/>
        <v>0.99400422766155005</v>
      </c>
      <c r="BK51" s="123"/>
      <c r="BL51" s="123"/>
      <c r="BM51" s="124" t="s">
        <v>438</v>
      </c>
      <c r="BN51" s="123"/>
      <c r="BO51" s="123"/>
      <c r="BP51" s="123"/>
      <c r="BQ51" s="123"/>
      <c r="BR51" s="123"/>
      <c r="BS51" s="98"/>
      <c r="CC51" s="130" t="s">
        <v>14</v>
      </c>
      <c r="CD51" s="123">
        <f t="shared" si="231"/>
        <v>1.0010324393382959</v>
      </c>
      <c r="CE51" s="123" t="s">
        <v>165</v>
      </c>
      <c r="CF51" s="123">
        <f t="shared" si="232"/>
        <v>1.0036289415996853</v>
      </c>
      <c r="CI51" s="124" t="s">
        <v>438</v>
      </c>
      <c r="CO51" s="98"/>
      <c r="EC51" s="130" t="s">
        <v>170</v>
      </c>
      <c r="ED51" s="123">
        <f>VAR(ED47:ED49)</f>
        <v>7.5068824735039179E-11</v>
      </c>
      <c r="EE51" s="123" t="s">
        <v>170</v>
      </c>
      <c r="EF51" s="123">
        <f>VAR(EF47:EF49)</f>
        <v>2.1348401794680231E-13</v>
      </c>
      <c r="EG51" s="123">
        <f>VAR(EI42:EI44)</f>
        <v>2336.0688696252437</v>
      </c>
      <c r="EH51" s="124">
        <f>STDEV(EI42:EI44)/EI46</f>
        <v>0.42526915387366632</v>
      </c>
      <c r="EI51" s="124" t="s">
        <v>449</v>
      </c>
      <c r="EJ51" s="123"/>
      <c r="EK51" s="123"/>
      <c r="EL51" s="123"/>
      <c r="EM51" s="123"/>
      <c r="EN51" s="98"/>
      <c r="EO51" s="130" t="s">
        <v>170</v>
      </c>
      <c r="EP51" s="123">
        <f>VAR(EP47:EP49)</f>
        <v>2.5601472388827932E-10</v>
      </c>
      <c r="EQ51" s="123" t="s">
        <v>170</v>
      </c>
      <c r="ER51" s="123">
        <f>VAR(ER47:ER49)</f>
        <v>5.5129935210772275E-13</v>
      </c>
      <c r="ES51" s="123">
        <f>VAR(EU42:EU44)</f>
        <v>3.3202067830153059E-2</v>
      </c>
      <c r="ET51" s="124">
        <f>STDEV(EU42:EU44)/EU46</f>
        <v>0.41952147717016069</v>
      </c>
      <c r="EU51" s="124" t="s">
        <v>449</v>
      </c>
      <c r="EV51" s="123"/>
      <c r="EW51" s="123"/>
      <c r="EX51" s="123"/>
      <c r="EY51" s="123"/>
      <c r="EZ51" s="98"/>
      <c r="FA51" s="130" t="s">
        <v>170</v>
      </c>
      <c r="FB51" s="123">
        <f>VAR(FB47:FB49)</f>
        <v>1.268479456845055E-10</v>
      </c>
      <c r="FC51" s="123" t="s">
        <v>170</v>
      </c>
      <c r="FD51" s="123">
        <f>VAR(FD47:FD49)</f>
        <v>6.6013019710950254E-12</v>
      </c>
      <c r="FE51" s="123">
        <f>VAR(FG42:FG44)</f>
        <v>5.3107818145081753E-2</v>
      </c>
      <c r="FF51" s="124">
        <f>STDEV(FG42:FG44)/FG46</f>
        <v>0.40359525754955067</v>
      </c>
      <c r="FG51" s="124" t="s">
        <v>449</v>
      </c>
      <c r="FH51" s="123"/>
      <c r="FI51" s="123"/>
      <c r="FJ51" s="123"/>
      <c r="FK51" s="123"/>
      <c r="FL51" s="98"/>
    </row>
    <row r="52" spans="1:168">
      <c r="A52" s="130" t="s">
        <v>15</v>
      </c>
      <c r="B52" s="123">
        <f>E44/E36</f>
        <v>1.0054411332094568</v>
      </c>
      <c r="C52" s="123" t="s">
        <v>67</v>
      </c>
      <c r="D52" s="123">
        <f>E45/E37</f>
        <v>0.99790220618231307</v>
      </c>
      <c r="E52" s="124" t="s">
        <v>256</v>
      </c>
      <c r="L52" s="98"/>
      <c r="S52" s="130" t="s">
        <v>15</v>
      </c>
      <c r="T52" s="123">
        <f>W44/W36</f>
        <v>1.0015461106577002</v>
      </c>
      <c r="U52" s="123" t="s">
        <v>67</v>
      </c>
      <c r="V52" s="123">
        <f>W45/W37</f>
        <v>1.0083437319779018</v>
      </c>
      <c r="W52" s="124" t="s">
        <v>256</v>
      </c>
      <c r="AD52" s="98"/>
      <c r="AJ52" s="130" t="s">
        <v>15</v>
      </c>
      <c r="AK52" s="123">
        <f>AN44/AN36</f>
        <v>0.99786915355436301</v>
      </c>
      <c r="AL52" s="123" t="s">
        <v>67</v>
      </c>
      <c r="AM52" s="123">
        <f>AN45/AN37</f>
        <v>0.99904259049570221</v>
      </c>
      <c r="AN52" s="124" t="s">
        <v>256</v>
      </c>
      <c r="AV52" s="98"/>
      <c r="AX52" s="123">
        <f t="shared" ref="AX52:AY52" si="234">AG37</f>
        <v>0.35342484624616488</v>
      </c>
      <c r="AY52" s="123">
        <f t="shared" si="234"/>
        <v>0.22032299999999999</v>
      </c>
      <c r="BG52" s="130" t="s">
        <v>15</v>
      </c>
      <c r="BH52" s="123">
        <f>BK44/BK36</f>
        <v>0.99909759180102164</v>
      </c>
      <c r="BI52" s="123" t="s">
        <v>67</v>
      </c>
      <c r="BJ52" s="123">
        <f>BK45/BK37</f>
        <v>0.99412779748190794</v>
      </c>
      <c r="BK52" s="124" t="s">
        <v>256</v>
      </c>
      <c r="BL52" s="123"/>
      <c r="BM52" s="123"/>
      <c r="BN52" s="123"/>
      <c r="BO52" s="123"/>
      <c r="BP52" s="123"/>
      <c r="BQ52" s="123"/>
      <c r="BR52" s="123"/>
      <c r="BS52" s="98"/>
      <c r="CC52" s="130" t="s">
        <v>15</v>
      </c>
      <c r="CD52" s="123">
        <f>CG44/CG36</f>
        <v>1.0011224484103296</v>
      </c>
      <c r="CE52" s="123" t="s">
        <v>67</v>
      </c>
      <c r="CF52" s="123">
        <f>CG45/CG37</f>
        <v>1.0036838252277434</v>
      </c>
      <c r="CG52" s="124" t="s">
        <v>256</v>
      </c>
      <c r="CO52" s="98"/>
      <c r="EC52" s="130"/>
      <c r="ED52" s="123"/>
      <c r="EE52" s="123"/>
      <c r="EF52" s="123"/>
      <c r="EG52" s="123">
        <f>EG51/EI46</f>
        <v>20.554489935227849</v>
      </c>
      <c r="EH52" s="123"/>
      <c r="EI52" s="124" t="s">
        <v>438</v>
      </c>
      <c r="EJ52" s="123"/>
      <c r="EK52" s="123"/>
      <c r="EL52" s="123"/>
      <c r="EM52" s="123"/>
      <c r="EN52" s="98"/>
      <c r="EO52" s="130"/>
      <c r="EP52" s="123"/>
      <c r="EQ52" s="123"/>
      <c r="ER52" s="123"/>
      <c r="ES52" s="123">
        <f>ES51/EU46</f>
        <v>7.6442831528683655E-2</v>
      </c>
      <c r="ET52" s="123"/>
      <c r="EU52" s="124" t="s">
        <v>438</v>
      </c>
      <c r="EV52" s="123"/>
      <c r="EW52" s="123"/>
      <c r="EX52" s="123"/>
      <c r="EY52" s="123"/>
      <c r="EZ52" s="98"/>
      <c r="FA52" s="130"/>
      <c r="FB52" s="123"/>
      <c r="FC52" s="123"/>
      <c r="FD52" s="123"/>
      <c r="FE52" s="123">
        <f>FE51/FG46</f>
        <v>9.3009066201263868E-2</v>
      </c>
      <c r="FF52" s="123"/>
      <c r="FG52" s="124" t="s">
        <v>438</v>
      </c>
      <c r="FH52" s="123"/>
      <c r="FI52" s="123"/>
      <c r="FJ52" s="123"/>
      <c r="FK52" s="123"/>
      <c r="FL52" s="98"/>
    </row>
    <row r="53" spans="1:168">
      <c r="A53" s="130" t="s">
        <v>170</v>
      </c>
      <c r="B53" s="123">
        <f>VAR(B49:B51)</f>
        <v>1.9484049525164678E-6</v>
      </c>
      <c r="C53" s="123" t="s">
        <v>170</v>
      </c>
      <c r="D53" s="123">
        <f>VAR(D49:D51)</f>
        <v>6.2619637587838616E-9</v>
      </c>
      <c r="E53" s="123">
        <f>VAR(G44:G46)</f>
        <v>2.3127460847158776E-3</v>
      </c>
      <c r="F53" s="124">
        <f>STDEV(G44:G46)/G48</f>
        <v>9.3769039923048164E-2</v>
      </c>
      <c r="G53" s="124" t="s">
        <v>449</v>
      </c>
      <c r="L53" s="98"/>
      <c r="S53" s="130" t="s">
        <v>170</v>
      </c>
      <c r="T53" s="123">
        <f>VAR(T49:T51)</f>
        <v>6.804307250327294E-7</v>
      </c>
      <c r="U53" s="123" t="s">
        <v>170</v>
      </c>
      <c r="V53" s="123">
        <f>VAR(V49:V51)</f>
        <v>4.2588737315940812E-7</v>
      </c>
      <c r="W53" s="123">
        <f>VAR(Y44:Y46)</f>
        <v>1.3827583562647794E-3</v>
      </c>
      <c r="X53" s="124">
        <f>STDEV(Y44:Y46)/Y48</f>
        <v>6.4611931634793035E-2</v>
      </c>
      <c r="Y53" s="124" t="s">
        <v>449</v>
      </c>
      <c r="AD53" s="98"/>
      <c r="AJ53" s="130" t="s">
        <v>170</v>
      </c>
      <c r="AK53" s="123">
        <f>VAR(AK49:AK51)</f>
        <v>1.1629316203452764E-8</v>
      </c>
      <c r="AL53" s="123" t="s">
        <v>170</v>
      </c>
      <c r="AM53" s="123">
        <f>VAR(AM49:AM51)</f>
        <v>1.8698459096086227E-9</v>
      </c>
      <c r="AN53" s="123">
        <f>VAR(AP44:AP46)</f>
        <v>2.9265025404303909E-4</v>
      </c>
      <c r="AO53" s="124">
        <f>STDEV(AP44:AP46)/AP48</f>
        <v>3.2708198778057224E-2</v>
      </c>
      <c r="AP53" s="124" t="s">
        <v>449</v>
      </c>
      <c r="AV53" s="98"/>
      <c r="AX53" s="123">
        <f t="shared" ref="AX53:AY53" si="235">AG38</f>
        <v>0.36010278126781314</v>
      </c>
      <c r="AY53" s="123">
        <f t="shared" si="235"/>
        <v>0.231132</v>
      </c>
      <c r="BG53" s="130" t="s">
        <v>170</v>
      </c>
      <c r="BH53" s="123">
        <f>VAR(BH49:BH51)</f>
        <v>5.0028866922346155E-8</v>
      </c>
      <c r="BI53" s="123" t="s">
        <v>170</v>
      </c>
      <c r="BJ53" s="123">
        <f>VAR(BJ49:BJ51)</f>
        <v>1.3506498510491612E-8</v>
      </c>
      <c r="BK53" s="123">
        <f>VAR(BM44:BM46)</f>
        <v>2.1376349956106635E-4</v>
      </c>
      <c r="BL53" s="124">
        <f>STDEV(BM44:BM46)/BM48</f>
        <v>2.8482966141147745E-2</v>
      </c>
      <c r="BM53" s="124" t="s">
        <v>449</v>
      </c>
      <c r="BN53" s="123"/>
      <c r="BO53" s="123"/>
      <c r="BP53" s="123"/>
      <c r="BQ53" s="123"/>
      <c r="BR53" s="123"/>
      <c r="BS53" s="98"/>
      <c r="CC53" s="130" t="s">
        <v>170</v>
      </c>
      <c r="CD53" s="123">
        <f>VAR(CD49:CD51)</f>
        <v>9.7442164734623045E-9</v>
      </c>
      <c r="CE53" s="123" t="s">
        <v>170</v>
      </c>
      <c r="CF53" s="123">
        <f>VAR(CF49:CF51)</f>
        <v>6.9665913361996976E-9</v>
      </c>
      <c r="CG53" s="123">
        <f>VAR(CI44:CI46)</f>
        <v>3.4269616467829394E-5</v>
      </c>
      <c r="CH53" s="124">
        <f>STDEV(CI44:CI46)/CI48</f>
        <v>1.1701608672882544E-2</v>
      </c>
      <c r="CI53" s="124" t="s">
        <v>449</v>
      </c>
      <c r="CO53" s="98"/>
      <c r="EC53" s="130"/>
      <c r="ED53" s="123"/>
      <c r="EE53" s="123"/>
      <c r="EF53" s="123" t="s">
        <v>444</v>
      </c>
      <c r="EG53" s="123"/>
      <c r="EH53" s="123"/>
      <c r="EI53" s="123"/>
      <c r="EJ53" s="123"/>
      <c r="EK53" s="123"/>
      <c r="EL53" s="123"/>
      <c r="EM53" s="123"/>
      <c r="EN53" s="98"/>
      <c r="EO53" s="130"/>
      <c r="EP53" s="123"/>
      <c r="EQ53" s="123"/>
      <c r="ER53" s="123" t="s">
        <v>444</v>
      </c>
      <c r="ES53" s="123"/>
      <c r="ET53" s="123"/>
      <c r="EU53" s="123"/>
      <c r="EV53" s="123"/>
      <c r="EW53" s="123"/>
      <c r="EX53" s="123"/>
      <c r="EY53" s="123"/>
      <c r="EZ53" s="98"/>
      <c r="FA53" s="130"/>
      <c r="FB53" s="123"/>
      <c r="FC53" s="123"/>
      <c r="FD53" s="123" t="s">
        <v>444</v>
      </c>
      <c r="FE53" s="123"/>
      <c r="FF53" s="123"/>
      <c r="FG53" s="123"/>
      <c r="FH53" s="123"/>
      <c r="FI53" s="123"/>
      <c r="FJ53" s="123"/>
      <c r="FK53" s="123"/>
      <c r="FL53" s="98"/>
    </row>
    <row r="54" spans="1:168">
      <c r="A54" s="130"/>
      <c r="G54" s="124" t="s">
        <v>438</v>
      </c>
      <c r="L54" s="98"/>
      <c r="Y54" s="124" t="s">
        <v>438</v>
      </c>
      <c r="AD54" s="98"/>
      <c r="AP54" s="124" t="s">
        <v>438</v>
      </c>
      <c r="AV54" s="98"/>
      <c r="AX54" s="123">
        <f t="shared" ref="AX54:AY54" si="236">AG39</f>
        <v>0.44682033788731051</v>
      </c>
      <c r="AY54" s="123">
        <f t="shared" si="236"/>
        <v>0.27151799999999998</v>
      </c>
      <c r="BG54" s="130"/>
      <c r="BH54" s="123"/>
      <c r="BI54" s="123"/>
      <c r="BJ54" s="123"/>
      <c r="BK54" s="123"/>
      <c r="BL54" s="123"/>
      <c r="BM54" s="124" t="s">
        <v>438</v>
      </c>
      <c r="BN54" s="123"/>
      <c r="BO54" s="123"/>
      <c r="BP54" s="123"/>
      <c r="BQ54" s="123"/>
      <c r="BR54" s="123"/>
      <c r="BS54" s="98"/>
      <c r="CC54" s="130"/>
      <c r="CI54" s="124" t="s">
        <v>438</v>
      </c>
      <c r="CO54" s="98"/>
      <c r="EC54" s="130"/>
      <c r="ED54" s="123">
        <f>ED47</f>
        <v>0.9972476399719935</v>
      </c>
      <c r="EE54" s="123"/>
      <c r="EF54" s="123">
        <f>ABS(EE42-ED43)/EE42</f>
        <v>2.7608508301619141E-3</v>
      </c>
      <c r="EG54" s="123" t="s">
        <v>446</v>
      </c>
      <c r="EH54" s="123"/>
      <c r="EI54" s="123"/>
      <c r="EJ54" s="123"/>
      <c r="EK54" s="123"/>
      <c r="EL54" s="123"/>
      <c r="EM54" s="123"/>
      <c r="EN54" s="98"/>
      <c r="EO54" s="130"/>
      <c r="EP54" s="123">
        <f>EP47</f>
        <v>0.97599782554002079</v>
      </c>
      <c r="EQ54" s="123"/>
      <c r="ER54" s="123">
        <f>ABS(EQ42-EP43)/EQ42</f>
        <v>8.0521407255985077E-3</v>
      </c>
      <c r="ES54" s="123" t="s">
        <v>446</v>
      </c>
      <c r="ET54" s="123"/>
      <c r="EU54" s="123"/>
      <c r="EV54" s="123"/>
      <c r="EW54" s="123"/>
      <c r="EX54" s="123"/>
      <c r="EY54" s="123"/>
      <c r="EZ54" s="98"/>
      <c r="FA54" s="130"/>
      <c r="FB54" s="123">
        <f>FB47</f>
        <v>0.96474205091341203</v>
      </c>
      <c r="FC54" s="123"/>
      <c r="FD54" s="123">
        <f>ABS(FC42-FB43)/FC42</f>
        <v>1.092478286994046E-3</v>
      </c>
      <c r="FE54" s="123" t="s">
        <v>446</v>
      </c>
      <c r="FF54" s="123"/>
      <c r="FG54" s="123"/>
      <c r="FH54" s="123"/>
      <c r="FI54" s="123"/>
      <c r="FJ54" s="123"/>
      <c r="FK54" s="123"/>
      <c r="FL54" s="98"/>
    </row>
    <row r="55" spans="1:168">
      <c r="A55" s="130"/>
      <c r="D55" s="123" t="s">
        <v>444</v>
      </c>
      <c r="L55" s="98"/>
      <c r="V55" s="123" t="s">
        <v>444</v>
      </c>
      <c r="AD55" s="98"/>
      <c r="AM55" s="123" t="s">
        <v>444</v>
      </c>
      <c r="AV55" s="98"/>
      <c r="AX55" s="123">
        <f>BU35</f>
        <v>0.72243763313638421</v>
      </c>
      <c r="AY55" s="123">
        <f>BV35</f>
        <v>0.48769621353161285</v>
      </c>
      <c r="BG55" s="130"/>
      <c r="BH55" s="123"/>
      <c r="BI55" s="123"/>
      <c r="BJ55" s="123" t="s">
        <v>444</v>
      </c>
      <c r="BK55" s="123"/>
      <c r="BL55" s="123"/>
      <c r="BM55" s="123"/>
      <c r="BN55" s="123"/>
      <c r="BO55" s="123"/>
      <c r="BP55" s="123"/>
      <c r="BQ55" s="123"/>
      <c r="BR55" s="123"/>
      <c r="BS55" s="98"/>
      <c r="CC55" s="130"/>
      <c r="CF55" s="123" t="s">
        <v>444</v>
      </c>
      <c r="CO55" s="98"/>
      <c r="EC55" s="130"/>
      <c r="ED55" s="123">
        <f t="shared" ref="ED55:ED56" si="237">ED48</f>
        <v>0.99723154362416111</v>
      </c>
      <c r="EE55" s="123"/>
      <c r="EF55" s="123">
        <f>ABS((EE34-ED35)/EE34)</f>
        <v>8.2435196775867861E-4</v>
      </c>
      <c r="EG55" s="123" t="s">
        <v>445</v>
      </c>
      <c r="EH55" s="123"/>
      <c r="EI55" s="123"/>
      <c r="EJ55" s="123"/>
      <c r="EK55" s="123"/>
      <c r="EL55" s="123"/>
      <c r="EM55" s="123"/>
      <c r="EN55" s="98"/>
      <c r="EO55" s="130"/>
      <c r="EP55" s="123">
        <f t="shared" ref="EP55:EP56" si="238">EP48</f>
        <v>0.97602978184469791</v>
      </c>
      <c r="EQ55" s="123"/>
      <c r="ER55" s="123">
        <f>ABS((EQ34-EP35)/EQ34)</f>
        <v>4.8928889783477543E-2</v>
      </c>
      <c r="ES55" s="123" t="s">
        <v>445</v>
      </c>
      <c r="ET55" s="123"/>
      <c r="EU55" s="123"/>
      <c r="EV55" s="123"/>
      <c r="EW55" s="123"/>
      <c r="EX55" s="123"/>
      <c r="EY55" s="123"/>
      <c r="EZ55" s="98"/>
      <c r="FA55" s="130"/>
      <c r="FB55" s="123">
        <f t="shared" ref="FB55:FB56" si="239">FB48</f>
        <v>0.96474167340766015</v>
      </c>
      <c r="FC55" s="123"/>
      <c r="FD55" s="123">
        <f>ABS((FC34-FB35)/FC34)</f>
        <v>5.7440913401640106E-2</v>
      </c>
      <c r="FE55" s="123" t="s">
        <v>445</v>
      </c>
      <c r="FF55" s="123"/>
      <c r="FG55" s="123"/>
      <c r="FH55" s="123"/>
      <c r="FI55" s="123"/>
      <c r="FJ55" s="123"/>
      <c r="FK55" s="123"/>
      <c r="FL55" s="98"/>
    </row>
    <row r="56" spans="1:168">
      <c r="A56" s="130"/>
      <c r="B56" s="123">
        <f>B49</f>
        <v>1.0071160148467941</v>
      </c>
      <c r="D56" s="123">
        <f>ABS(C44-B45)/C44</f>
        <v>1.6508476692997042E-3</v>
      </c>
      <c r="E56" s="123" t="s">
        <v>446</v>
      </c>
      <c r="L56" s="98"/>
      <c r="T56" s="123">
        <f>T49</f>
        <v>1.0008666293922843</v>
      </c>
      <c r="V56" s="123">
        <f>ABS(U44-T45)/U44</f>
        <v>1.8829018425843051E-2</v>
      </c>
      <c r="W56" s="123" t="s">
        <v>446</v>
      </c>
      <c r="AD56" s="98"/>
      <c r="AK56" s="123">
        <f>AK49</f>
        <v>0.99785612196283946</v>
      </c>
      <c r="AM56" s="123">
        <f>ABS(AL44-AK45)/AL44</f>
        <v>3.772412093152838E-3</v>
      </c>
      <c r="AN56" s="123" t="s">
        <v>446</v>
      </c>
      <c r="AV56" s="98"/>
      <c r="AX56" s="123">
        <f t="shared" ref="AX56:AY56" si="240">BU36</f>
        <v>0.72446941189076619</v>
      </c>
      <c r="AY56" s="123">
        <f t="shared" si="240"/>
        <v>0.48242299999999999</v>
      </c>
      <c r="BG56" s="130"/>
      <c r="BH56" s="123">
        <f>BH49</f>
        <v>0.9990343617607258</v>
      </c>
      <c r="BI56" s="123"/>
      <c r="BJ56" s="123">
        <f>ABS(BI44-BH45)/BI44</f>
        <v>1.2605138555782089E-2</v>
      </c>
      <c r="BK56" s="123" t="s">
        <v>446</v>
      </c>
      <c r="BL56" s="123"/>
      <c r="BM56" s="123"/>
      <c r="BN56" s="123"/>
      <c r="BO56" s="123"/>
      <c r="BP56" s="123"/>
      <c r="BQ56" s="123"/>
      <c r="BR56" s="123"/>
      <c r="BS56" s="98"/>
      <c r="CC56" s="130"/>
      <c r="CD56" s="123">
        <f>CD49</f>
        <v>1.0011652623761109</v>
      </c>
      <c r="CF56" s="123">
        <f>ABS(CE44-CD45)/CE44</f>
        <v>8.1232385834704261E-3</v>
      </c>
      <c r="CG56" s="123" t="s">
        <v>446</v>
      </c>
      <c r="CO56" s="98"/>
      <c r="EC56" s="130"/>
      <c r="ED56" s="123">
        <f t="shared" si="237"/>
        <v>0.99723403417591949</v>
      </c>
      <c r="EE56" s="123"/>
      <c r="EF56" s="123"/>
      <c r="EG56" s="123"/>
      <c r="EH56" s="123"/>
      <c r="EI56" s="123"/>
      <c r="EJ56" s="123"/>
      <c r="EK56" s="123"/>
      <c r="EL56" s="123"/>
      <c r="EM56" s="123"/>
      <c r="EN56" s="98"/>
      <c r="EO56" s="130"/>
      <c r="EP56" s="123">
        <f t="shared" si="238"/>
        <v>0.97601526660561799</v>
      </c>
      <c r="EQ56" s="123"/>
      <c r="ER56" s="123"/>
      <c r="ES56" s="123"/>
      <c r="ET56" s="123"/>
      <c r="EU56" s="123"/>
      <c r="EV56" s="123"/>
      <c r="EW56" s="123"/>
      <c r="EX56" s="123"/>
      <c r="EY56" s="123"/>
      <c r="EZ56" s="98"/>
      <c r="FA56" s="130"/>
      <c r="FB56" s="123">
        <f t="shared" si="239"/>
        <v>0.96476136695364212</v>
      </c>
      <c r="FC56" s="123"/>
      <c r="FD56" s="123"/>
      <c r="FE56" s="123"/>
      <c r="FF56" s="123"/>
      <c r="FG56" s="123"/>
      <c r="FH56" s="123"/>
      <c r="FI56" s="123"/>
      <c r="FJ56" s="123"/>
      <c r="FK56" s="123"/>
      <c r="FL56" s="98"/>
    </row>
    <row r="57" spans="1:168">
      <c r="A57" s="130"/>
      <c r="B57" s="123">
        <f t="shared" ref="B57:B58" si="241">B50</f>
        <v>1.0043633090709869</v>
      </c>
      <c r="D57" s="123">
        <f>ABS((C36-B37)/C36)</f>
        <v>4.8380794628913662E-3</v>
      </c>
      <c r="E57" s="123" t="s">
        <v>445</v>
      </c>
      <c r="L57" s="98"/>
      <c r="T57" s="123">
        <f t="shared" ref="T57:T58" si="242">T50</f>
        <v>1.0015531231384309</v>
      </c>
      <c r="V57" s="123">
        <f>ABS((U36-T37)/U36)</f>
        <v>2.556483583215198E-2</v>
      </c>
      <c r="W57" s="123" t="s">
        <v>445</v>
      </c>
      <c r="AD57" s="98"/>
      <c r="AK57" s="123">
        <f t="shared" ref="AK57:AK58" si="243">AK50</f>
        <v>0.99785040885169973</v>
      </c>
      <c r="AM57" s="123">
        <f>ABS((AL36-AK37)/AL36)</f>
        <v>2.5269492174220445E-3</v>
      </c>
      <c r="AN57" s="123" t="s">
        <v>445</v>
      </c>
      <c r="AV57" s="98"/>
      <c r="AX57" s="123">
        <f t="shared" ref="AX57:AY57" si="244">BU37</f>
        <v>0.72834845489845823</v>
      </c>
      <c r="AY57" s="123">
        <f t="shared" si="244"/>
        <v>0.48247499999999999</v>
      </c>
      <c r="BG57" s="130"/>
      <c r="BH57" s="123">
        <f t="shared" ref="BH57:BH58" si="245">BH50</f>
        <v>0.99892538487671434</v>
      </c>
      <c r="BI57" s="123"/>
      <c r="BJ57" s="123">
        <f>ABS((BI36-BH37)/BI36)</f>
        <v>1.7246984193925431E-2</v>
      </c>
      <c r="BK57" s="123" t="s">
        <v>445</v>
      </c>
      <c r="BL57" s="123"/>
      <c r="BM57" s="123"/>
      <c r="BN57" s="123"/>
      <c r="BO57" s="123"/>
      <c r="BP57" s="123"/>
      <c r="BQ57" s="123"/>
      <c r="BR57" s="123"/>
      <c r="BS57" s="98"/>
      <c r="CC57" s="130"/>
      <c r="CD57" s="123">
        <f t="shared" ref="CD57:CD58" si="246">CD50</f>
        <v>1.0012253466274472</v>
      </c>
      <c r="CF57" s="123">
        <f>ABS((CE36-CD37)/CE36)</f>
        <v>1.0711016954576519E-2</v>
      </c>
      <c r="CG57" s="123" t="s">
        <v>445</v>
      </c>
      <c r="CO57" s="98"/>
      <c r="EC57" s="130"/>
      <c r="ED57" s="123">
        <f>EF47</f>
        <v>1.0008167190791684</v>
      </c>
      <c r="EE57" s="123"/>
      <c r="EF57" s="123"/>
      <c r="EG57" s="123"/>
      <c r="EH57" s="123"/>
      <c r="EI57" s="123"/>
      <c r="EJ57" s="123"/>
      <c r="EK57" s="123"/>
      <c r="EL57" s="123"/>
      <c r="EM57" s="123"/>
      <c r="EN57" s="98"/>
      <c r="EO57" s="130"/>
      <c r="EP57" s="123">
        <f>ER47</f>
        <v>1.015608016792708</v>
      </c>
      <c r="EQ57" s="123"/>
      <c r="ER57" s="123"/>
      <c r="ES57" s="123"/>
      <c r="ET57" s="123"/>
      <c r="EU57" s="123"/>
      <c r="EV57" s="123"/>
      <c r="EW57" s="123"/>
      <c r="EX57" s="123"/>
      <c r="EY57" s="123"/>
      <c r="EZ57" s="98"/>
      <c r="FA57" s="130"/>
      <c r="FB57" s="123">
        <f>FD47</f>
        <v>1.0212730349405881</v>
      </c>
      <c r="FC57" s="123"/>
      <c r="FD57" s="123"/>
      <c r="FE57" s="123"/>
      <c r="FF57" s="123"/>
      <c r="FG57" s="123"/>
      <c r="FH57" s="123"/>
      <c r="FI57" s="123"/>
      <c r="FJ57" s="123"/>
      <c r="FK57" s="123"/>
      <c r="FL57" s="98"/>
    </row>
    <row r="58" spans="1:168">
      <c r="A58" s="130"/>
      <c r="B58" s="123">
        <f t="shared" si="241"/>
        <v>1.0061423690999094</v>
      </c>
      <c r="L58" s="98"/>
      <c r="T58" s="123">
        <f t="shared" si="242"/>
        <v>1.0025090440480071</v>
      </c>
      <c r="AD58" s="98"/>
      <c r="AK58" s="123">
        <f t="shared" si="243"/>
        <v>0.99803998302529529</v>
      </c>
      <c r="AV58" s="98"/>
      <c r="AX58" s="123">
        <f t="shared" ref="AX58:AY58" si="247">BU38</f>
        <v>0.70995770887712795</v>
      </c>
      <c r="AY58" s="123">
        <f t="shared" si="247"/>
        <v>0.47154000000000001</v>
      </c>
      <c r="BG58" s="130"/>
      <c r="BH58" s="123">
        <f t="shared" si="245"/>
        <v>0.99935561209743529</v>
      </c>
      <c r="BI58" s="123"/>
      <c r="BJ58" s="123"/>
      <c r="BK58" s="123"/>
      <c r="BL58" s="123"/>
      <c r="BM58" s="123"/>
      <c r="BN58" s="123"/>
      <c r="BO58" s="123"/>
      <c r="BP58" s="123"/>
      <c r="BQ58" s="123"/>
      <c r="BR58" s="123"/>
      <c r="BS58" s="98"/>
      <c r="CC58" s="130"/>
      <c r="CD58" s="123">
        <f t="shared" si="246"/>
        <v>1.0010324393382959</v>
      </c>
      <c r="CO58" s="98"/>
      <c r="EC58" s="130"/>
      <c r="ED58" s="123">
        <f t="shared" ref="ED58:ED59" si="248">EF48</f>
        <v>1.0008168042229997</v>
      </c>
      <c r="EE58" s="123"/>
      <c r="EF58" s="123"/>
      <c r="EG58" s="123"/>
      <c r="EH58" s="123"/>
      <c r="EI58" s="123"/>
      <c r="EJ58" s="123"/>
      <c r="EK58" s="123"/>
      <c r="EL58" s="123"/>
      <c r="EM58" s="123"/>
      <c r="EN58" s="98"/>
      <c r="EO58" s="130"/>
      <c r="EP58" s="123">
        <f t="shared" ref="EP58:EP59" si="249">ER48</f>
        <v>1.0156091825268994</v>
      </c>
      <c r="EQ58" s="123"/>
      <c r="ER58" s="123"/>
      <c r="ES58" s="123"/>
      <c r="ET58" s="123"/>
      <c r="EU58" s="123"/>
      <c r="EV58" s="123"/>
      <c r="EW58" s="123"/>
      <c r="EX58" s="123"/>
      <c r="EY58" s="123"/>
      <c r="EZ58" s="98"/>
      <c r="FA58" s="130"/>
      <c r="FB58" s="123">
        <f t="shared" ref="FB58:FB59" si="250">FD48</f>
        <v>1.0212690796155375</v>
      </c>
      <c r="FC58" s="123"/>
      <c r="FD58" s="123"/>
      <c r="FE58" s="123"/>
      <c r="FF58" s="123"/>
      <c r="FG58" s="123"/>
      <c r="FH58" s="123"/>
      <c r="FI58" s="123"/>
      <c r="FJ58" s="123"/>
      <c r="FK58" s="123"/>
      <c r="FL58" s="98"/>
    </row>
    <row r="59" spans="1:168">
      <c r="A59" s="130"/>
      <c r="B59" s="123">
        <f>D49</f>
        <v>0.99785680998303372</v>
      </c>
      <c r="L59" s="98"/>
      <c r="T59" s="123">
        <f>V49</f>
        <v>1.0081747238566774</v>
      </c>
      <c r="AD59" s="98"/>
      <c r="AK59" s="123">
        <f>AM49</f>
        <v>0.99909790054420422</v>
      </c>
      <c r="AV59" s="98"/>
      <c r="AX59" s="123">
        <f t="shared" ref="AX59:AY59" si="251">BU39</f>
        <v>0.70917696194620805</v>
      </c>
      <c r="AY59" s="123">
        <f t="shared" si="251"/>
        <v>0.47693999999999998</v>
      </c>
      <c r="BG59" s="130"/>
      <c r="BH59" s="123">
        <f>BJ49</f>
        <v>0.99422933305218031</v>
      </c>
      <c r="BI59" s="123"/>
      <c r="BJ59" s="123"/>
      <c r="BK59" s="123"/>
      <c r="BL59" s="123"/>
      <c r="BM59" s="123"/>
      <c r="BN59" s="123"/>
      <c r="BO59" s="123"/>
      <c r="BP59" s="123"/>
      <c r="BQ59" s="123"/>
      <c r="BR59" s="123"/>
      <c r="BS59" s="98"/>
      <c r="CC59" s="130"/>
      <c r="CD59" s="123">
        <f>CF49</f>
        <v>1.0037954186161122</v>
      </c>
      <c r="CO59" s="98"/>
      <c r="EC59" s="130"/>
      <c r="ED59" s="123">
        <f t="shared" si="248"/>
        <v>1.0008159647728312</v>
      </c>
      <c r="EE59" s="123"/>
      <c r="EF59" s="123"/>
      <c r="EG59" s="123"/>
      <c r="EH59" s="123"/>
      <c r="EI59" s="123"/>
      <c r="EJ59" s="123"/>
      <c r="EK59" s="123"/>
      <c r="EL59" s="123"/>
      <c r="EM59" s="123"/>
      <c r="EN59" s="98"/>
      <c r="EO59" s="130"/>
      <c r="EP59" s="123">
        <f t="shared" si="249"/>
        <v>1.0156078029817617</v>
      </c>
      <c r="EQ59" s="123"/>
      <c r="ER59" s="123"/>
      <c r="ES59" s="123"/>
      <c r="ET59" s="123"/>
      <c r="EU59" s="123"/>
      <c r="EV59" s="123"/>
      <c r="EW59" s="123"/>
      <c r="EX59" s="123"/>
      <c r="EY59" s="123"/>
      <c r="EZ59" s="98"/>
      <c r="FA59" s="130"/>
      <c r="FB59" s="123">
        <f t="shared" si="250"/>
        <v>1.0212682164227829</v>
      </c>
      <c r="FC59" s="123"/>
      <c r="FD59" s="123"/>
      <c r="FE59" s="123"/>
      <c r="FF59" s="123"/>
      <c r="FG59" s="123"/>
      <c r="FH59" s="123"/>
      <c r="FI59" s="123"/>
      <c r="FJ59" s="123"/>
      <c r="FK59" s="123"/>
      <c r="FL59" s="98"/>
    </row>
    <row r="60" spans="1:168" ht="15.75" thickBot="1">
      <c r="A60" s="130"/>
      <c r="B60" s="123">
        <f t="shared" ref="B60:B61" si="252">D50</f>
        <v>0.99794495683794082</v>
      </c>
      <c r="L60" s="98"/>
      <c r="T60" s="123">
        <f t="shared" ref="T60:T61" si="253">V50</f>
        <v>1.0080555514384384</v>
      </c>
      <c r="AD60" s="98"/>
      <c r="AK60" s="123">
        <f t="shared" ref="AK60:AK61" si="254">AM50</f>
        <v>0.99901142153634392</v>
      </c>
      <c r="AV60" s="98"/>
      <c r="AX60" s="123">
        <f t="shared" ref="AX60:AY60" si="255">BU40</f>
        <v>0.16699678983675981</v>
      </c>
      <c r="AY60" s="123">
        <f t="shared" si="255"/>
        <v>0.110121</v>
      </c>
      <c r="BG60" s="130"/>
      <c r="BH60" s="123">
        <f t="shared" ref="BH60:BH61" si="256">BJ50</f>
        <v>0.99416693180613014</v>
      </c>
      <c r="BI60" s="123"/>
      <c r="BJ60" s="123"/>
      <c r="BK60" s="123"/>
      <c r="BL60" s="123"/>
      <c r="BM60" s="123"/>
      <c r="BN60" s="123"/>
      <c r="BO60" s="123"/>
      <c r="BP60" s="123"/>
      <c r="BQ60" s="123"/>
      <c r="BR60" s="123"/>
      <c r="BS60" s="98"/>
      <c r="CC60" s="130"/>
      <c r="CD60" s="123">
        <f t="shared" ref="CD60:CD61" si="257">CF50</f>
        <v>1.0037015111688796</v>
      </c>
      <c r="CO60" s="98"/>
      <c r="EC60" s="131" t="s">
        <v>170</v>
      </c>
      <c r="ED60" s="126">
        <f>VAR(ED54:ED59)</f>
        <v>3.8422801135058978E-6</v>
      </c>
      <c r="EE60" s="126"/>
      <c r="EF60" s="126"/>
      <c r="EG60" s="126"/>
      <c r="EH60" s="126"/>
      <c r="EI60" s="126"/>
      <c r="EJ60" s="126"/>
      <c r="EK60" s="126"/>
      <c r="EL60" s="126"/>
      <c r="EM60" s="126"/>
      <c r="EN60" s="127"/>
      <c r="EO60" s="131" t="s">
        <v>170</v>
      </c>
      <c r="EP60" s="126">
        <f>VAR(EP54:EP59)</f>
        <v>4.7030656949636069E-4</v>
      </c>
      <c r="EQ60" s="126"/>
      <c r="ER60" s="126"/>
      <c r="ES60" s="126"/>
      <c r="ET60" s="126"/>
      <c r="EU60" s="126"/>
      <c r="EV60" s="126"/>
      <c r="EW60" s="126"/>
      <c r="EX60" s="126"/>
      <c r="EY60" s="126"/>
      <c r="EZ60" s="127"/>
      <c r="FA60" s="131" t="s">
        <v>170</v>
      </c>
      <c r="FB60" s="126">
        <f>VAR(FB54:FB59)</f>
        <v>9.5841240391105961E-4</v>
      </c>
      <c r="FC60" s="126"/>
      <c r="FD60" s="126"/>
      <c r="FE60" s="126"/>
      <c r="FF60" s="126"/>
      <c r="FG60" s="126"/>
      <c r="FH60" s="126"/>
      <c r="FI60" s="126"/>
      <c r="FJ60" s="126"/>
      <c r="FK60" s="126"/>
      <c r="FL60" s="127"/>
    </row>
    <row r="61" spans="1:168" ht="15.75" thickTop="1">
      <c r="A61" s="130"/>
      <c r="B61" s="123">
        <f t="shared" si="252"/>
        <v>0.99778704804579843</v>
      </c>
      <c r="L61" s="98"/>
      <c r="T61" s="123">
        <f t="shared" si="253"/>
        <v>1.0092407532882304</v>
      </c>
      <c r="AD61" s="98"/>
      <c r="AK61" s="123">
        <f t="shared" si="254"/>
        <v>0.99905541842290524</v>
      </c>
      <c r="AV61" s="98"/>
      <c r="AX61" s="123">
        <f t="shared" ref="AX61:AY61" si="258">BU41</f>
        <v>0.1905344742730232</v>
      </c>
      <c r="AY61" s="123">
        <f t="shared" si="258"/>
        <v>0.12712899999999999</v>
      </c>
      <c r="BG61" s="130"/>
      <c r="BH61" s="123">
        <f t="shared" si="256"/>
        <v>0.99400422766155005</v>
      </c>
      <c r="BI61" s="123"/>
      <c r="BJ61" s="123"/>
      <c r="BK61" s="123"/>
      <c r="BL61" s="123"/>
      <c r="BM61" s="123"/>
      <c r="BN61" s="123"/>
      <c r="BO61" s="123"/>
      <c r="BP61" s="123"/>
      <c r="BQ61" s="123"/>
      <c r="BR61" s="123"/>
      <c r="BS61" s="98"/>
      <c r="CC61" s="130"/>
      <c r="CD61" s="123">
        <f t="shared" si="257"/>
        <v>1.0036289415996853</v>
      </c>
      <c r="CO61" s="98"/>
      <c r="EC61" s="128"/>
      <c r="ED61" s="121"/>
      <c r="EE61" s="121"/>
      <c r="EF61" s="121"/>
      <c r="EG61" s="121"/>
      <c r="EH61" s="133" t="s">
        <v>239</v>
      </c>
      <c r="EI61" s="121"/>
      <c r="EJ61" s="121"/>
      <c r="EK61" s="129" t="s">
        <v>426</v>
      </c>
      <c r="EL61" s="121"/>
      <c r="EM61" s="121"/>
      <c r="EN61" s="122"/>
      <c r="EO61" s="128"/>
      <c r="EP61" s="121"/>
      <c r="EQ61" s="121"/>
      <c r="ER61" s="121"/>
      <c r="ES61" s="121"/>
      <c r="ET61" s="133" t="s">
        <v>239</v>
      </c>
      <c r="EU61" s="121"/>
      <c r="EV61" s="121"/>
      <c r="EW61" s="129" t="s">
        <v>428</v>
      </c>
      <c r="EX61" s="121"/>
      <c r="EY61" s="121"/>
      <c r="EZ61" s="122"/>
      <c r="FA61" s="128"/>
      <c r="FB61" s="121"/>
      <c r="FC61" s="121"/>
      <c r="FD61" s="121"/>
      <c r="FE61" s="121"/>
      <c r="FF61" s="133" t="s">
        <v>239</v>
      </c>
      <c r="FG61" s="121"/>
      <c r="FH61" s="121"/>
      <c r="FI61" s="129" t="s">
        <v>459</v>
      </c>
      <c r="FJ61" s="121"/>
      <c r="FK61" s="121"/>
      <c r="FL61" s="122"/>
    </row>
    <row r="62" spans="1:168" ht="15.75" thickBot="1">
      <c r="A62" s="131" t="s">
        <v>170</v>
      </c>
      <c r="B62" s="126">
        <f>VAR(B56:B61)</f>
        <v>2.0034507840404994E-5</v>
      </c>
      <c r="C62" s="126"/>
      <c r="D62" s="126"/>
      <c r="E62" s="126"/>
      <c r="F62" s="126"/>
      <c r="G62" s="126"/>
      <c r="H62" s="126"/>
      <c r="I62" s="126"/>
      <c r="J62" s="126"/>
      <c r="K62" s="126"/>
      <c r="L62" s="127"/>
      <c r="S62" s="131" t="s">
        <v>170</v>
      </c>
      <c r="T62" s="126">
        <f>VAR(T56:T61)</f>
        <v>1.4508637097003192E-5</v>
      </c>
      <c r="U62" s="126"/>
      <c r="V62" s="126"/>
      <c r="W62" s="126"/>
      <c r="X62" s="126"/>
      <c r="Y62" s="126"/>
      <c r="Z62" s="126"/>
      <c r="AA62" s="126"/>
      <c r="AB62" s="126"/>
      <c r="AC62" s="126"/>
      <c r="AD62" s="127"/>
      <c r="AJ62" s="131" t="s">
        <v>170</v>
      </c>
      <c r="AK62" s="126">
        <f>VAR(AK56:AK61)</f>
        <v>3.9487544897439918E-7</v>
      </c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7"/>
      <c r="AX62" s="123">
        <f t="shared" ref="AX62:AY62" si="259">BU42</f>
        <v>0.16923558845479156</v>
      </c>
      <c r="AY62" s="123">
        <f t="shared" si="259"/>
        <v>0.11326799999999999</v>
      </c>
      <c r="BG62" s="131" t="s">
        <v>170</v>
      </c>
      <c r="BH62" s="126">
        <f>VAR(BH56:BH61)</f>
        <v>7.4405219532329193E-6</v>
      </c>
      <c r="BI62" s="126"/>
      <c r="BJ62" s="126"/>
      <c r="BK62" s="126"/>
      <c r="BL62" s="126"/>
      <c r="BM62" s="126"/>
      <c r="BN62" s="126"/>
      <c r="BO62" s="126"/>
      <c r="BP62" s="126"/>
      <c r="BQ62" s="126"/>
      <c r="BR62" s="126"/>
      <c r="BS62" s="127"/>
      <c r="CC62" s="131" t="s">
        <v>170</v>
      </c>
      <c r="CD62" s="126">
        <f>VAR(CD56:CD61)</f>
        <v>1.9844670840920842E-6</v>
      </c>
      <c r="CE62" s="126"/>
      <c r="CF62" s="126"/>
      <c r="CG62" s="126"/>
      <c r="CH62" s="126"/>
      <c r="CI62" s="126"/>
      <c r="CJ62" s="126"/>
      <c r="CK62" s="126"/>
      <c r="CL62" s="126"/>
      <c r="CM62" s="126"/>
      <c r="CN62" s="126"/>
      <c r="CO62" s="127"/>
      <c r="EC62" s="130" t="s">
        <v>167</v>
      </c>
      <c r="ED62" s="123"/>
      <c r="EE62" s="123"/>
      <c r="EF62" s="123"/>
      <c r="EG62" s="123"/>
      <c r="EH62" s="123"/>
      <c r="EI62" s="123"/>
      <c r="EJ62" s="123" t="s">
        <v>168</v>
      </c>
      <c r="EK62" s="123"/>
      <c r="EL62" s="123"/>
      <c r="EM62" s="123"/>
      <c r="EN62" s="98"/>
      <c r="EO62" s="130" t="s">
        <v>167</v>
      </c>
      <c r="EP62" s="123"/>
      <c r="EQ62" s="123"/>
      <c r="ER62" s="123"/>
      <c r="ES62" s="123"/>
      <c r="ET62" s="123"/>
      <c r="EU62" s="123"/>
      <c r="EV62" s="123" t="s">
        <v>168</v>
      </c>
      <c r="EW62" s="123"/>
      <c r="EX62" s="123"/>
      <c r="EY62" s="123"/>
      <c r="EZ62" s="98"/>
      <c r="FA62" s="130" t="s">
        <v>167</v>
      </c>
      <c r="FB62" s="123"/>
      <c r="FC62" s="123"/>
      <c r="FD62" s="123"/>
      <c r="FE62" s="123"/>
      <c r="FF62" s="123"/>
      <c r="FG62" s="123"/>
      <c r="FH62" s="123" t="s">
        <v>168</v>
      </c>
      <c r="FI62" s="123"/>
      <c r="FJ62" s="123"/>
      <c r="FK62" s="123"/>
      <c r="FL62" s="98"/>
    </row>
    <row r="63" spans="1:168" ht="15.75" thickTop="1">
      <c r="A63" s="128"/>
      <c r="B63" s="121"/>
      <c r="C63" s="121"/>
      <c r="D63" s="121"/>
      <c r="E63" s="121"/>
      <c r="F63" s="133" t="s">
        <v>239</v>
      </c>
      <c r="G63" s="121"/>
      <c r="H63" s="121"/>
      <c r="I63" s="124" t="s">
        <v>177</v>
      </c>
      <c r="J63" s="121"/>
      <c r="K63" s="121"/>
      <c r="L63" s="122"/>
      <c r="S63" s="128"/>
      <c r="T63" s="121"/>
      <c r="U63" s="121"/>
      <c r="V63" s="121"/>
      <c r="W63" s="121"/>
      <c r="X63" s="133" t="s">
        <v>239</v>
      </c>
      <c r="Y63" s="121"/>
      <c r="Z63" s="121"/>
      <c r="AA63" s="124" t="s">
        <v>200</v>
      </c>
      <c r="AB63" s="121"/>
      <c r="AC63" s="121"/>
      <c r="AD63" s="122"/>
      <c r="AJ63" s="128"/>
      <c r="AK63" s="121"/>
      <c r="AL63" s="121"/>
      <c r="AM63" s="121"/>
      <c r="AN63" s="121"/>
      <c r="AO63" s="133" t="s">
        <v>239</v>
      </c>
      <c r="AP63" s="121"/>
      <c r="AQ63" s="121"/>
      <c r="AR63" s="124" t="s">
        <v>205</v>
      </c>
      <c r="AS63" s="121"/>
      <c r="AT63" s="121"/>
      <c r="AU63" s="121"/>
      <c r="AV63" s="122"/>
      <c r="AX63" s="123">
        <f t="shared" ref="AX63:AY63" si="260">BU43</f>
        <v>0.17154221949331269</v>
      </c>
      <c r="AY63" s="123">
        <f t="shared" si="260"/>
        <v>0.11444799999999999</v>
      </c>
      <c r="BG63" s="128"/>
      <c r="BH63" s="121"/>
      <c r="BI63" s="121"/>
      <c r="BJ63" s="121"/>
      <c r="BK63" s="121"/>
      <c r="BL63" s="133" t="s">
        <v>239</v>
      </c>
      <c r="BM63" s="121"/>
      <c r="BN63" s="121"/>
      <c r="BO63" s="124" t="s">
        <v>189</v>
      </c>
      <c r="BP63" s="121"/>
      <c r="BQ63" s="121"/>
      <c r="BR63" s="121"/>
      <c r="BS63" s="122"/>
      <c r="EC63" s="1"/>
      <c r="ED63" s="2" t="s">
        <v>0</v>
      </c>
      <c r="EE63" s="2" t="s">
        <v>1</v>
      </c>
      <c r="EF63" s="2" t="s">
        <v>2</v>
      </c>
      <c r="EG63" s="3" t="s">
        <v>6</v>
      </c>
      <c r="EH63" s="103" t="s">
        <v>70</v>
      </c>
      <c r="EI63" s="103" t="s">
        <v>172</v>
      </c>
      <c r="EJ63" s="123" t="s">
        <v>3</v>
      </c>
      <c r="EK63" s="123">
        <v>150</v>
      </c>
      <c r="EL63" s="123"/>
      <c r="EM63" s="123" t="s">
        <v>19</v>
      </c>
      <c r="EN63" s="123">
        <v>0.231215</v>
      </c>
      <c r="EO63" s="1"/>
      <c r="EP63" s="2" t="s">
        <v>0</v>
      </c>
      <c r="EQ63" s="2" t="s">
        <v>1</v>
      </c>
      <c r="ER63" s="2" t="s">
        <v>2</v>
      </c>
      <c r="ES63" s="3" t="s">
        <v>6</v>
      </c>
      <c r="ET63" s="103" t="s">
        <v>70</v>
      </c>
      <c r="EU63" s="103" t="s">
        <v>172</v>
      </c>
      <c r="EV63" s="123" t="s">
        <v>3</v>
      </c>
      <c r="EW63" s="123">
        <v>250</v>
      </c>
      <c r="EX63" s="123"/>
      <c r="EY63" s="123" t="s">
        <v>19</v>
      </c>
      <c r="EZ63" s="123">
        <v>0.136937</v>
      </c>
      <c r="FA63" s="1"/>
      <c r="FB63" s="2" t="s">
        <v>0</v>
      </c>
      <c r="FC63" s="2" t="s">
        <v>1</v>
      </c>
      <c r="FD63" s="2" t="s">
        <v>2</v>
      </c>
      <c r="FE63" s="3" t="s">
        <v>6</v>
      </c>
      <c r="FF63" s="103" t="s">
        <v>70</v>
      </c>
      <c r="FG63" s="103" t="s">
        <v>172</v>
      </c>
      <c r="FH63" s="123" t="s">
        <v>3</v>
      </c>
      <c r="FI63" s="123">
        <v>1000</v>
      </c>
      <c r="FJ63" s="123"/>
      <c r="FK63" s="123" t="s">
        <v>19</v>
      </c>
      <c r="FL63" s="123">
        <v>0.180731</v>
      </c>
    </row>
    <row r="64" spans="1:168" ht="15.75" thickBot="1">
      <c r="A64" s="130" t="s">
        <v>167</v>
      </c>
      <c r="H64" s="123" t="s">
        <v>168</v>
      </c>
      <c r="L64" s="98"/>
      <c r="S64" s="130" t="s">
        <v>167</v>
      </c>
      <c r="Z64" s="123" t="s">
        <v>168</v>
      </c>
      <c r="AD64" s="98"/>
      <c r="AJ64" s="130" t="s">
        <v>167</v>
      </c>
      <c r="AQ64" s="123" t="s">
        <v>168</v>
      </c>
      <c r="AV64" s="98"/>
      <c r="AX64" s="123">
        <f t="shared" ref="AX64:AY64" si="261">BU44</f>
        <v>0.1536170181690717</v>
      </c>
      <c r="AY64" s="123">
        <f t="shared" si="261"/>
        <v>0.102274</v>
      </c>
      <c r="BG64" s="130" t="s">
        <v>167</v>
      </c>
      <c r="BH64" s="123"/>
      <c r="BI64" s="123"/>
      <c r="BJ64" s="123"/>
      <c r="BK64" s="123"/>
      <c r="BL64" s="123"/>
      <c r="BM64" s="123"/>
      <c r="BN64" s="123" t="s">
        <v>168</v>
      </c>
      <c r="BO64" s="123"/>
      <c r="BP64" s="123"/>
      <c r="BQ64" s="123"/>
      <c r="BR64" s="123"/>
      <c r="BS64" s="98"/>
      <c r="EC64" s="4" t="s">
        <v>3</v>
      </c>
      <c r="ED64" s="100">
        <v>4568.08</v>
      </c>
      <c r="EE64" s="5">
        <v>13831.5</v>
      </c>
      <c r="EF64" s="5">
        <v>5187.3999999999996</v>
      </c>
      <c r="EG64" s="104">
        <f>SUM(ED64:EF64)</f>
        <v>23586.980000000003</v>
      </c>
      <c r="EH64" s="123">
        <f>EF64/EE64</f>
        <v>0.37504247550880232</v>
      </c>
      <c r="EI64" s="123">
        <f>ED64/EE64</f>
        <v>0.33026642085095614</v>
      </c>
      <c r="EJ64" s="123" t="s">
        <v>4</v>
      </c>
      <c r="EK64" s="123">
        <v>200</v>
      </c>
      <c r="EL64" s="123"/>
      <c r="EM64" s="123"/>
      <c r="EN64" s="98"/>
      <c r="EO64" s="4" t="s">
        <v>3</v>
      </c>
      <c r="EP64" s="100">
        <v>23328.7</v>
      </c>
      <c r="EQ64" s="5">
        <v>38356.199999999997</v>
      </c>
      <c r="ER64" s="5">
        <v>9984.73</v>
      </c>
      <c r="ES64" s="104">
        <f>SUM(EP64:ER64)</f>
        <v>71669.62999999999</v>
      </c>
      <c r="ET64" s="123">
        <f>ER64/EQ64</f>
        <v>0.26031593327806196</v>
      </c>
      <c r="EU64" s="123">
        <f>EP64/EQ64</f>
        <v>0.60821197094602708</v>
      </c>
      <c r="EV64" s="123" t="s">
        <v>4</v>
      </c>
      <c r="EW64" s="123">
        <v>300</v>
      </c>
      <c r="EX64" s="123"/>
      <c r="EY64" s="123"/>
      <c r="EZ64" s="98"/>
      <c r="FA64" s="4" t="s">
        <v>3</v>
      </c>
      <c r="FB64" s="100">
        <v>266997</v>
      </c>
      <c r="FC64" s="5">
        <v>294649</v>
      </c>
      <c r="FD64" s="5">
        <v>122865</v>
      </c>
      <c r="FE64" s="104">
        <f>SUM(FB64:FD64)</f>
        <v>684511</v>
      </c>
      <c r="FF64" s="123">
        <f>FD64/FC64</f>
        <v>0.41698767007524207</v>
      </c>
      <c r="FG64" s="123">
        <f>FB64/FC64</f>
        <v>0.90615274445187322</v>
      </c>
      <c r="FH64" s="123" t="s">
        <v>4</v>
      </c>
      <c r="FI64" s="123">
        <v>1600</v>
      </c>
      <c r="FJ64" s="123"/>
      <c r="FK64" s="123"/>
      <c r="FL64" s="98"/>
    </row>
    <row r="65" spans="1:168" ht="15.75" thickTop="1">
      <c r="A65" s="1"/>
      <c r="B65" s="2" t="s">
        <v>0</v>
      </c>
      <c r="C65" s="2" t="s">
        <v>1</v>
      </c>
      <c r="D65" s="2" t="s">
        <v>2</v>
      </c>
      <c r="E65" s="3" t="s">
        <v>6</v>
      </c>
      <c r="F65" s="103" t="s">
        <v>70</v>
      </c>
      <c r="G65" s="103" t="s">
        <v>172</v>
      </c>
      <c r="H65" s="123" t="s">
        <v>3</v>
      </c>
      <c r="I65" s="123">
        <v>6</v>
      </c>
      <c r="K65" s="123" t="s">
        <v>19</v>
      </c>
      <c r="L65" s="98">
        <v>0.10675999999999999</v>
      </c>
      <c r="S65" s="1"/>
      <c r="T65" s="2" t="s">
        <v>0</v>
      </c>
      <c r="U65" s="2" t="s">
        <v>1</v>
      </c>
      <c r="V65" s="2" t="s">
        <v>2</v>
      </c>
      <c r="W65" s="3" t="s">
        <v>6</v>
      </c>
      <c r="X65" s="103" t="s">
        <v>70</v>
      </c>
      <c r="Y65" s="103" t="s">
        <v>172</v>
      </c>
      <c r="Z65" s="123" t="s">
        <v>3</v>
      </c>
      <c r="AA65" s="123">
        <v>12</v>
      </c>
      <c r="AC65" s="123" t="s">
        <v>19</v>
      </c>
      <c r="AD65" s="98">
        <v>0.22032299999999999</v>
      </c>
      <c r="AJ65" s="1"/>
      <c r="AK65" s="2" t="s">
        <v>0</v>
      </c>
      <c r="AL65" s="2" t="s">
        <v>1</v>
      </c>
      <c r="AM65" s="2" t="s">
        <v>2</v>
      </c>
      <c r="AN65" s="3" t="s">
        <v>6</v>
      </c>
      <c r="AO65" s="103" t="s">
        <v>70</v>
      </c>
      <c r="AP65" s="103" t="s">
        <v>172</v>
      </c>
      <c r="AQ65" s="123" t="s">
        <v>3</v>
      </c>
      <c r="AR65" s="123">
        <v>20</v>
      </c>
      <c r="AT65" s="123" t="s">
        <v>19</v>
      </c>
      <c r="AU65" s="123">
        <v>0.10700900000000001</v>
      </c>
      <c r="AV65" s="98"/>
      <c r="AX65" s="123">
        <f>CQ35</f>
        <v>1.372637984824558</v>
      </c>
      <c r="AY65" s="123">
        <f>CR35</f>
        <v>0.91309043206897933</v>
      </c>
      <c r="BG65" s="1"/>
      <c r="BH65" s="2" t="s">
        <v>0</v>
      </c>
      <c r="BI65" s="2" t="s">
        <v>1</v>
      </c>
      <c r="BJ65" s="2" t="s">
        <v>2</v>
      </c>
      <c r="BK65" s="3" t="s">
        <v>6</v>
      </c>
      <c r="BL65" s="103" t="s">
        <v>70</v>
      </c>
      <c r="BM65" s="103" t="s">
        <v>172</v>
      </c>
      <c r="BN65" s="123" t="s">
        <v>3</v>
      </c>
      <c r="BO65" s="123">
        <v>30</v>
      </c>
      <c r="BP65" s="123"/>
      <c r="BQ65" s="123" t="s">
        <v>19</v>
      </c>
      <c r="BR65" s="123">
        <v>0.48247499999999999</v>
      </c>
      <c r="BS65" s="98"/>
      <c r="EC65" s="4" t="s">
        <v>4</v>
      </c>
      <c r="ED65" s="5">
        <v>14521.4</v>
      </c>
      <c r="EE65" s="5">
        <v>16881.7</v>
      </c>
      <c r="EF65" s="5">
        <v>6331.35</v>
      </c>
      <c r="EG65" s="106">
        <f t="shared" ref="EG65:EG67" si="262">SUM(ED65:EF65)</f>
        <v>37734.449999999997</v>
      </c>
      <c r="EH65" s="123">
        <f t="shared" ref="EH65:EH67" si="263">EF65/EE65</f>
        <v>0.37504220546508943</v>
      </c>
      <c r="EI65" s="123">
        <f t="shared" ref="EI65:EI67" si="264">ED65/EE65</f>
        <v>0.86018588175361477</v>
      </c>
      <c r="EJ65" s="123" t="s">
        <v>5</v>
      </c>
      <c r="EK65" s="123">
        <v>85</v>
      </c>
      <c r="EL65" s="123"/>
      <c r="EM65" s="123"/>
      <c r="EN65" s="98"/>
      <c r="EO65" s="4" t="s">
        <v>4</v>
      </c>
      <c r="EP65" s="5">
        <v>39067.1</v>
      </c>
      <c r="EQ65" s="5">
        <v>31091.200000000001</v>
      </c>
      <c r="ER65" s="5">
        <v>8093.53</v>
      </c>
      <c r="ES65" s="106">
        <f t="shared" ref="ES65:ES67" si="265">SUM(EP65:ER65)</f>
        <v>78251.83</v>
      </c>
      <c r="ET65" s="123">
        <f t="shared" ref="ET65:ET67" si="266">ER65/EQ65</f>
        <v>0.26031578067105804</v>
      </c>
      <c r="EU65" s="123">
        <f t="shared" ref="EU65:EU67" si="267">EP65/EQ65</f>
        <v>1.2565323950185261</v>
      </c>
      <c r="EV65" s="123" t="s">
        <v>5</v>
      </c>
      <c r="EW65" s="123">
        <v>100</v>
      </c>
      <c r="EX65" s="123"/>
      <c r="EY65" s="123"/>
      <c r="EZ65" s="98"/>
      <c r="FA65" s="4" t="s">
        <v>4</v>
      </c>
      <c r="FB65" s="5">
        <v>305470</v>
      </c>
      <c r="FC65" s="5">
        <v>145358</v>
      </c>
      <c r="FD65" s="5">
        <v>60612.6</v>
      </c>
      <c r="FE65" s="106">
        <f t="shared" ref="FE65:FE67" si="268">SUM(FB65:FD65)</f>
        <v>511440.6</v>
      </c>
      <c r="FF65" s="123">
        <f t="shared" ref="FF65:FF67" si="269">FD65/FC65</f>
        <v>0.41698840105119772</v>
      </c>
      <c r="FG65" s="123">
        <f t="shared" ref="FG65:FG67" si="270">FB65/FC65</f>
        <v>2.1015011213693087</v>
      </c>
      <c r="FH65" s="123" t="s">
        <v>5</v>
      </c>
      <c r="FI65" s="123">
        <v>800</v>
      </c>
      <c r="FJ65" s="123"/>
      <c r="FK65" s="123"/>
      <c r="FL65" s="98"/>
    </row>
    <row r="66" spans="1:168">
      <c r="A66" s="4" t="s">
        <v>3</v>
      </c>
      <c r="B66" s="100">
        <v>600.62099999999998</v>
      </c>
      <c r="C66" s="5">
        <v>1491.09</v>
      </c>
      <c r="D66" s="5">
        <v>228.18899999999999</v>
      </c>
      <c r="E66" s="104">
        <f>SUM(B66:D66)</f>
        <v>2319.8999999999996</v>
      </c>
      <c r="F66" s="123">
        <f>D66/C66</f>
        <v>0.15303502806671629</v>
      </c>
      <c r="G66" s="123">
        <f>B66/C66</f>
        <v>0.40280667162947914</v>
      </c>
      <c r="H66" s="123" t="s">
        <v>4</v>
      </c>
      <c r="I66" s="123">
        <v>12</v>
      </c>
      <c r="L66" s="98"/>
      <c r="S66" s="4" t="s">
        <v>3</v>
      </c>
      <c r="T66" s="100">
        <v>650.69299999999998</v>
      </c>
      <c r="U66" s="5">
        <v>1077.6300000000001</v>
      </c>
      <c r="V66" s="5">
        <v>380.86099999999999</v>
      </c>
      <c r="W66" s="104">
        <f>SUM(T66:V66)</f>
        <v>2109.1840000000002</v>
      </c>
      <c r="X66" s="123">
        <f>V66/U66</f>
        <v>0.35342464482243435</v>
      </c>
      <c r="Y66" s="123">
        <f>T66/U66</f>
        <v>0.60381856481352592</v>
      </c>
      <c r="Z66" s="123" t="s">
        <v>4</v>
      </c>
      <c r="AA66" s="123">
        <v>20</v>
      </c>
      <c r="AD66" s="98"/>
      <c r="AJ66" s="4" t="s">
        <v>3</v>
      </c>
      <c r="AK66" s="100">
        <v>1517.86</v>
      </c>
      <c r="AL66" s="5">
        <v>3160.79</v>
      </c>
      <c r="AM66" s="5">
        <v>499.42399999999998</v>
      </c>
      <c r="AN66" s="104">
        <f>SUM(AK66:AM66)</f>
        <v>5178.0739999999996</v>
      </c>
      <c r="AO66" s="123">
        <f>AM66/AL66</f>
        <v>0.15800606810322734</v>
      </c>
      <c r="AP66" s="123">
        <f>AK66/AL66</f>
        <v>0.48021538919067697</v>
      </c>
      <c r="AQ66" s="123" t="s">
        <v>4</v>
      </c>
      <c r="AR66" s="123">
        <v>40</v>
      </c>
      <c r="AV66" s="98"/>
      <c r="AX66" s="123">
        <f>CQ36</f>
        <v>1.3683526761546407</v>
      </c>
      <c r="AY66" s="123">
        <f>CR36</f>
        <v>0.90891299999999997</v>
      </c>
      <c r="BG66" s="4" t="s">
        <v>3</v>
      </c>
      <c r="BH66" s="100">
        <v>364.48599999999999</v>
      </c>
      <c r="BI66" s="5">
        <v>742.74099999999999</v>
      </c>
      <c r="BJ66" s="5">
        <v>540.97500000000002</v>
      </c>
      <c r="BK66" s="104">
        <f>SUM(BH66:BJ66)</f>
        <v>1648.2019999999998</v>
      </c>
      <c r="BL66" s="123">
        <f>BJ66/BI66</f>
        <v>0.72834945155848407</v>
      </c>
      <c r="BM66" s="123">
        <f>BH66/BI66</f>
        <v>0.49073095466656613</v>
      </c>
      <c r="BN66" s="123" t="s">
        <v>4</v>
      </c>
      <c r="BO66" s="123">
        <v>60</v>
      </c>
      <c r="BP66" s="123"/>
      <c r="BQ66" s="123"/>
      <c r="BR66" s="123"/>
      <c r="BS66" s="98"/>
      <c r="EC66" s="4" t="s">
        <v>5</v>
      </c>
      <c r="ED66" s="5">
        <v>4497.59</v>
      </c>
      <c r="EE66" s="5">
        <v>7021.16</v>
      </c>
      <c r="EF66" s="5">
        <v>2633.23</v>
      </c>
      <c r="EG66" s="108">
        <f t="shared" si="262"/>
        <v>14151.98</v>
      </c>
      <c r="EH66" s="123">
        <f t="shared" si="263"/>
        <v>0.37504201584923291</v>
      </c>
      <c r="EI66" s="123">
        <f t="shared" si="264"/>
        <v>0.64057648593679684</v>
      </c>
      <c r="EJ66" s="123"/>
      <c r="EK66" s="123"/>
      <c r="EL66" s="123"/>
      <c r="EM66" s="123"/>
      <c r="EN66" s="98"/>
      <c r="EO66" s="4" t="s">
        <v>5</v>
      </c>
      <c r="EP66" s="5">
        <v>9273.7900000000009</v>
      </c>
      <c r="EQ66" s="5">
        <v>8804.4699999999993</v>
      </c>
      <c r="ER66" s="5">
        <v>2291.94</v>
      </c>
      <c r="ES66" s="108">
        <f t="shared" si="265"/>
        <v>20370.2</v>
      </c>
      <c r="ET66" s="123">
        <f t="shared" si="266"/>
        <v>0.26031549883184341</v>
      </c>
      <c r="EU66" s="123">
        <f t="shared" si="267"/>
        <v>1.0533047417959289</v>
      </c>
      <c r="EV66" s="123"/>
      <c r="EW66" s="123"/>
      <c r="EX66" s="123"/>
      <c r="EY66" s="123"/>
      <c r="EZ66" s="98"/>
      <c r="FA66" s="4" t="s">
        <v>5</v>
      </c>
      <c r="FB66" s="5">
        <v>112044</v>
      </c>
      <c r="FC66" s="5">
        <v>71433.7</v>
      </c>
      <c r="FD66" s="5">
        <v>29787.1</v>
      </c>
      <c r="FE66" s="108">
        <f t="shared" si="268"/>
        <v>213264.80000000002</v>
      </c>
      <c r="FF66" s="123">
        <f t="shared" si="269"/>
        <v>0.41698946015676075</v>
      </c>
      <c r="FG66" s="123">
        <f t="shared" si="270"/>
        <v>1.5685033814572114</v>
      </c>
      <c r="FH66" s="85" t="s">
        <v>49</v>
      </c>
      <c r="FI66" s="124">
        <f>FI63+FI64+FI65</f>
        <v>3400</v>
      </c>
      <c r="FJ66" s="123" t="s">
        <v>457</v>
      </c>
      <c r="FK66" s="123"/>
      <c r="FL66" s="98"/>
    </row>
    <row r="67" spans="1:168" ht="15.75" thickBot="1">
      <c r="A67" s="4" t="s">
        <v>4</v>
      </c>
      <c r="B67" s="5">
        <v>1475.47</v>
      </c>
      <c r="C67" s="5">
        <v>3305.1</v>
      </c>
      <c r="D67" s="5">
        <v>505.79500000000002</v>
      </c>
      <c r="E67" s="106">
        <f t="shared" ref="E67:E69" si="271">SUM(B67:D67)</f>
        <v>5286.3649999999998</v>
      </c>
      <c r="F67" s="123">
        <f t="shared" ref="F67:F69" si="272">D67/C67</f>
        <v>0.15303470394239208</v>
      </c>
      <c r="G67" s="123">
        <f t="shared" ref="G67:G69" si="273">B67/C67</f>
        <v>0.44642219600012106</v>
      </c>
      <c r="H67" s="123" t="s">
        <v>5</v>
      </c>
      <c r="I67" s="123">
        <v>4</v>
      </c>
      <c r="L67" s="98"/>
      <c r="S67" s="4" t="s">
        <v>4</v>
      </c>
      <c r="T67" s="5">
        <v>1059.0899999999999</v>
      </c>
      <c r="U67" s="5">
        <v>1749.02</v>
      </c>
      <c r="V67" s="5">
        <v>618.14800000000002</v>
      </c>
      <c r="W67" s="106">
        <f t="shared" ref="W67:W69" si="274">SUM(T67:V67)</f>
        <v>3426.2579999999998</v>
      </c>
      <c r="X67" s="123">
        <f t="shared" ref="X67:X69" si="275">V67/U67</f>
        <v>0.35342534676561732</v>
      </c>
      <c r="Y67" s="123">
        <f t="shared" ref="Y67:Y69" si="276">T67/U67</f>
        <v>0.60553338440955506</v>
      </c>
      <c r="Z67" s="123" t="s">
        <v>5</v>
      </c>
      <c r="AA67" s="123">
        <v>8</v>
      </c>
      <c r="AD67" s="98"/>
      <c r="AJ67" s="4" t="s">
        <v>4</v>
      </c>
      <c r="AK67" s="5">
        <v>3169.16</v>
      </c>
      <c r="AL67" s="5">
        <v>6678.11</v>
      </c>
      <c r="AM67" s="5">
        <v>1055.18</v>
      </c>
      <c r="AN67" s="106">
        <f t="shared" ref="AN67:AN69" si="277">SUM(AK67:AM67)</f>
        <v>10902.45</v>
      </c>
      <c r="AO67" s="123">
        <f t="shared" ref="AO67:AO69" si="278">AM67/AL67</f>
        <v>0.15800578307335461</v>
      </c>
      <c r="AP67" s="123">
        <f t="shared" ref="AP67:AP69" si="279">AK67/AL67</f>
        <v>0.47455941875770241</v>
      </c>
      <c r="AQ67" s="123" t="s">
        <v>5</v>
      </c>
      <c r="AR67" s="123">
        <v>15</v>
      </c>
      <c r="AV67" s="98"/>
      <c r="AX67" s="123">
        <v>1.3857382920647701</v>
      </c>
      <c r="AY67" s="123">
        <v>0.700021</v>
      </c>
      <c r="BG67" s="4" t="s">
        <v>4</v>
      </c>
      <c r="BH67" s="5">
        <v>739.16200000000003</v>
      </c>
      <c r="BI67" s="5">
        <v>1422.48</v>
      </c>
      <c r="BJ67" s="5">
        <v>1036.06</v>
      </c>
      <c r="BK67" s="106">
        <f t="shared" ref="BK67:BK69" si="280">SUM(BH67:BJ67)</f>
        <v>3197.7019999999998</v>
      </c>
      <c r="BL67" s="123">
        <f t="shared" ref="BL67:BL69" si="281">BJ67/BI67</f>
        <v>0.72834767448399973</v>
      </c>
      <c r="BM67" s="123">
        <f t="shared" ref="BM67:BM69" si="282">BH67/BI67</f>
        <v>0.51962909847590122</v>
      </c>
      <c r="BN67" s="123" t="s">
        <v>5</v>
      </c>
      <c r="BO67" s="123">
        <v>25</v>
      </c>
      <c r="BP67" s="123"/>
      <c r="BQ67" s="123"/>
      <c r="BR67" s="123"/>
      <c r="BS67" s="98"/>
      <c r="EC67" s="7"/>
      <c r="ED67" s="105">
        <f>SUM(ED64:ED66)</f>
        <v>23587.07</v>
      </c>
      <c r="EE67" s="107">
        <f>SUM(EE64:EE66)</f>
        <v>37734.36</v>
      </c>
      <c r="EF67" s="109">
        <f>SUM(EF64:EF66)</f>
        <v>14151.98</v>
      </c>
      <c r="EG67" s="101">
        <f t="shared" si="262"/>
        <v>75473.41</v>
      </c>
      <c r="EH67" s="123">
        <f t="shared" si="263"/>
        <v>0.37504226916794137</v>
      </c>
      <c r="EI67" s="123">
        <f t="shared" si="264"/>
        <v>0.62508202073653829</v>
      </c>
      <c r="EJ67" s="123"/>
      <c r="EK67" s="123"/>
      <c r="EL67" s="123"/>
      <c r="EM67" s="123"/>
      <c r="EN67" s="98"/>
      <c r="EO67" s="7"/>
      <c r="EP67" s="105">
        <f>SUM(EP64:EP66)</f>
        <v>71669.59</v>
      </c>
      <c r="EQ67" s="107">
        <f>SUM(EQ64:EQ66)</f>
        <v>78251.87</v>
      </c>
      <c r="ER67" s="109">
        <f>SUM(ER64:ER66)</f>
        <v>20370.199999999997</v>
      </c>
      <c r="ES67" s="101">
        <f t="shared" si="265"/>
        <v>170291.65999999997</v>
      </c>
      <c r="ET67" s="123">
        <f t="shared" si="266"/>
        <v>0.26031582376242252</v>
      </c>
      <c r="EU67" s="123">
        <f t="shared" si="267"/>
        <v>0.91588341594903744</v>
      </c>
      <c r="EV67" s="123"/>
      <c r="EW67" s="123"/>
      <c r="EX67" s="123"/>
      <c r="EY67" s="123"/>
      <c r="EZ67" s="98"/>
      <c r="FA67" s="7"/>
      <c r="FB67" s="105">
        <f>SUM(FB64:FB66)</f>
        <v>684511</v>
      </c>
      <c r="FC67" s="107">
        <f>SUM(FC64:FC66)</f>
        <v>511440.7</v>
      </c>
      <c r="FD67" s="109">
        <f>SUM(FD64:FD66)</f>
        <v>213264.7</v>
      </c>
      <c r="FE67" s="101">
        <f t="shared" si="268"/>
        <v>1409216.4</v>
      </c>
      <c r="FF67" s="123">
        <f t="shared" si="269"/>
        <v>0.4169881278513814</v>
      </c>
      <c r="FG67" s="123">
        <f t="shared" si="270"/>
        <v>1.3383975893979496</v>
      </c>
      <c r="FH67" s="123"/>
      <c r="FI67" s="123"/>
      <c r="FJ67" s="123"/>
      <c r="FK67" s="123"/>
      <c r="FL67" s="98"/>
    </row>
    <row r="68" spans="1:168" ht="15.75" thickTop="1">
      <c r="A68" s="4" t="s">
        <v>5</v>
      </c>
      <c r="B68" s="5">
        <v>243.81299999999999</v>
      </c>
      <c r="C68" s="5">
        <v>490.17099999999999</v>
      </c>
      <c r="D68" s="5">
        <v>75.013199999999998</v>
      </c>
      <c r="E68" s="108">
        <f t="shared" si="271"/>
        <v>808.99719999999991</v>
      </c>
      <c r="F68" s="123">
        <f t="shared" si="272"/>
        <v>0.15303475725818133</v>
      </c>
      <c r="G68" s="123">
        <f t="shared" si="273"/>
        <v>0.49740396718696128</v>
      </c>
      <c r="L68" s="98"/>
      <c r="S68" s="4" t="s">
        <v>5</v>
      </c>
      <c r="T68" s="5">
        <v>399.404</v>
      </c>
      <c r="U68" s="5">
        <v>599.60599999999999</v>
      </c>
      <c r="V68" s="5">
        <v>211.91499999999999</v>
      </c>
      <c r="W68" s="108">
        <f t="shared" si="274"/>
        <v>1210.925</v>
      </c>
      <c r="X68" s="123">
        <f t="shared" si="275"/>
        <v>0.35342374826135831</v>
      </c>
      <c r="Y68" s="123">
        <f t="shared" si="276"/>
        <v>0.66611074605657716</v>
      </c>
      <c r="AD68" s="98"/>
      <c r="AJ68" s="4" t="s">
        <v>5</v>
      </c>
      <c r="AK68" s="5">
        <v>491.05900000000003</v>
      </c>
      <c r="AL68" s="5">
        <v>1063.55</v>
      </c>
      <c r="AM68" s="5">
        <v>168.047</v>
      </c>
      <c r="AN68" s="108">
        <f t="shared" si="277"/>
        <v>1722.6559999999999</v>
      </c>
      <c r="AO68" s="123">
        <f t="shared" si="278"/>
        <v>0.15800573550843872</v>
      </c>
      <c r="AP68" s="123">
        <f t="shared" si="279"/>
        <v>0.46171689154247569</v>
      </c>
      <c r="AV68" s="98"/>
      <c r="AX68" s="123">
        <f>F339</f>
        <v>0.83594630116410062</v>
      </c>
      <c r="AY68" s="123">
        <f>L335</f>
        <v>0.38658100000000001</v>
      </c>
      <c r="BG68" s="4" t="s">
        <v>5</v>
      </c>
      <c r="BH68" s="5">
        <v>544.47299999999996</v>
      </c>
      <c r="BI68" s="5">
        <v>1032.53</v>
      </c>
      <c r="BJ68" s="5">
        <v>752.04200000000003</v>
      </c>
      <c r="BK68" s="108">
        <f t="shared" si="280"/>
        <v>2329.0450000000001</v>
      </c>
      <c r="BL68" s="123">
        <f t="shared" si="281"/>
        <v>0.72834881310954647</v>
      </c>
      <c r="BM68" s="123">
        <f t="shared" si="282"/>
        <v>0.5273193030710972</v>
      </c>
      <c r="BN68" s="123"/>
      <c r="BO68" s="123"/>
      <c r="BP68" s="123"/>
      <c r="BQ68" s="123"/>
      <c r="BR68" s="123"/>
      <c r="BS68" s="98"/>
      <c r="EC68" s="130"/>
      <c r="ED68" s="123"/>
      <c r="EE68" s="123"/>
      <c r="EF68" s="123"/>
      <c r="EG68" s="123"/>
      <c r="EH68" s="124" t="s">
        <v>420</v>
      </c>
      <c r="EI68" s="103">
        <f>AVERAGE(EI64:EI66)</f>
        <v>0.61034292951378921</v>
      </c>
      <c r="EJ68" s="123"/>
      <c r="EK68" s="123"/>
      <c r="EL68" s="123"/>
      <c r="EM68" s="123"/>
      <c r="EN68" s="98"/>
      <c r="EO68" s="130"/>
      <c r="EP68" s="123"/>
      <c r="EQ68" s="123"/>
      <c r="ER68" s="123"/>
      <c r="ES68" s="123"/>
      <c r="ET68" s="124" t="s">
        <v>420</v>
      </c>
      <c r="EU68" s="103">
        <f>AVERAGE(EU64:EU66)</f>
        <v>0.9726830359201607</v>
      </c>
      <c r="EV68" s="123"/>
      <c r="EW68" s="123"/>
      <c r="EX68" s="123"/>
      <c r="EY68" s="123"/>
      <c r="EZ68" s="98"/>
      <c r="FA68" s="130"/>
      <c r="FB68" s="123"/>
      <c r="FC68" s="123"/>
      <c r="FD68" s="123"/>
      <c r="FE68" s="123"/>
      <c r="FF68" s="124" t="s">
        <v>420</v>
      </c>
      <c r="FG68" s="103">
        <f>AVERAGE(FG64:FG66)</f>
        <v>1.5253857490927978</v>
      </c>
      <c r="FH68" s="123"/>
      <c r="FI68" s="123"/>
      <c r="FJ68" s="123"/>
      <c r="FK68" s="123"/>
      <c r="FL68" s="98"/>
    </row>
    <row r="69" spans="1:168" ht="15.75" thickBot="1">
      <c r="A69" s="7"/>
      <c r="B69" s="105">
        <f>SUM(B66:B68)</f>
        <v>2319.904</v>
      </c>
      <c r="C69" s="107">
        <f>SUM(C66:C68)</f>
        <v>5286.3609999999999</v>
      </c>
      <c r="D69" s="109">
        <f>SUM(D66:D68)</f>
        <v>808.99720000000002</v>
      </c>
      <c r="E69" s="101">
        <f t="shared" si="271"/>
        <v>8415.2621999999992</v>
      </c>
      <c r="F69" s="123">
        <f t="shared" si="272"/>
        <v>0.15303480030970265</v>
      </c>
      <c r="G69" s="123">
        <f t="shared" si="273"/>
        <v>0.43884706322553457</v>
      </c>
      <c r="L69" s="98"/>
      <c r="S69" s="7"/>
      <c r="T69" s="105">
        <f>SUM(T66:T68)</f>
        <v>2109.1869999999999</v>
      </c>
      <c r="U69" s="107">
        <f>SUM(U66:U68)</f>
        <v>3426.2560000000003</v>
      </c>
      <c r="V69" s="109">
        <f>SUM(V66:V68)</f>
        <v>1210.924</v>
      </c>
      <c r="W69" s="101">
        <f t="shared" si="274"/>
        <v>6746.3670000000002</v>
      </c>
      <c r="X69" s="123">
        <f t="shared" si="275"/>
        <v>0.35342484624616488</v>
      </c>
      <c r="Y69" s="123">
        <f t="shared" si="276"/>
        <v>0.6155952736748217</v>
      </c>
      <c r="AD69" s="98"/>
      <c r="AJ69" s="7"/>
      <c r="AK69" s="105">
        <f>SUM(AK66:AK68)</f>
        <v>5178.0789999999997</v>
      </c>
      <c r="AL69" s="107">
        <f>SUM(AL66:AL68)</f>
        <v>10902.449999999999</v>
      </c>
      <c r="AM69" s="109">
        <f>SUM(AM66:AM68)</f>
        <v>1722.6510000000001</v>
      </c>
      <c r="AN69" s="101">
        <f t="shared" si="277"/>
        <v>17803.18</v>
      </c>
      <c r="AO69" s="123">
        <f t="shared" si="278"/>
        <v>0.15800586106792514</v>
      </c>
      <c r="AP69" s="123">
        <f t="shared" si="279"/>
        <v>0.47494636526652267</v>
      </c>
      <c r="AV69" s="98"/>
      <c r="AX69" s="123">
        <f>F369</f>
        <v>0.29797390488655734</v>
      </c>
      <c r="AY69" s="123">
        <f>L365</f>
        <v>0.139101</v>
      </c>
      <c r="BG69" s="7"/>
      <c r="BH69" s="105">
        <f>SUM(BH66:BH68)</f>
        <v>1648.1210000000001</v>
      </c>
      <c r="BI69" s="107">
        <f>SUM(BI66:BI68)</f>
        <v>3197.7510000000002</v>
      </c>
      <c r="BJ69" s="109">
        <f>SUM(BJ66:BJ68)</f>
        <v>2329.0769999999998</v>
      </c>
      <c r="BK69" s="101">
        <f t="shared" si="280"/>
        <v>7174.9490000000005</v>
      </c>
      <c r="BL69" s="123">
        <f t="shared" si="281"/>
        <v>0.72834845489845823</v>
      </c>
      <c r="BM69" s="123">
        <f t="shared" si="282"/>
        <v>0.51540004209208279</v>
      </c>
      <c r="BN69" s="123"/>
      <c r="BO69" s="123"/>
      <c r="BP69" s="123"/>
      <c r="BQ69" s="123"/>
      <c r="BR69" s="123"/>
      <c r="BS69" s="98"/>
      <c r="EC69" s="130"/>
      <c r="ED69" s="123"/>
      <c r="EE69" s="123"/>
      <c r="EF69" s="123"/>
      <c r="EG69" s="123"/>
      <c r="EH69" s="123"/>
      <c r="EI69" s="123"/>
      <c r="EJ69" s="123"/>
      <c r="EK69" s="123"/>
      <c r="EL69" s="123" t="s">
        <v>419</v>
      </c>
      <c r="EM69" s="123">
        <v>0.02</v>
      </c>
      <c r="EN69" s="98"/>
      <c r="EO69" s="130"/>
      <c r="EP69" s="123"/>
      <c r="EQ69" s="123"/>
      <c r="ER69" s="123"/>
      <c r="ES69" s="123"/>
      <c r="ET69" s="123"/>
      <c r="EU69" s="123"/>
      <c r="EV69" s="123"/>
      <c r="EW69" s="123"/>
      <c r="EX69" s="123" t="s">
        <v>419</v>
      </c>
      <c r="EY69" s="123">
        <v>0.02</v>
      </c>
      <c r="EZ69" s="98"/>
      <c r="FA69" s="130"/>
      <c r="FB69" s="123"/>
      <c r="FC69" s="123"/>
      <c r="FD69" s="123"/>
      <c r="FE69" s="123"/>
      <c r="FF69" s="123"/>
      <c r="FG69" s="123"/>
      <c r="FH69" s="123"/>
      <c r="FI69" s="123"/>
      <c r="FJ69" s="123" t="s">
        <v>419</v>
      </c>
      <c r="FK69" s="123">
        <v>6.0000000000000001E-3</v>
      </c>
      <c r="FL69" s="98"/>
    </row>
    <row r="70" spans="1:168" ht="16.5" thickTop="1" thickBot="1">
      <c r="A70" s="130"/>
      <c r="F70" s="124" t="s">
        <v>420</v>
      </c>
      <c r="G70" s="103">
        <f>AVERAGE(G66:G68)</f>
        <v>0.44887761160552048</v>
      </c>
      <c r="I70" s="123">
        <v>642.80893587910396</v>
      </c>
      <c r="J70" s="123">
        <v>363.52162635815301</v>
      </c>
      <c r="K70" s="123">
        <v>38.9388805822935</v>
      </c>
      <c r="L70" s="98"/>
      <c r="X70" s="124" t="s">
        <v>420</v>
      </c>
      <c r="Y70" s="103">
        <f>AVERAGE(Y66:Y68)</f>
        <v>0.62515423175988605</v>
      </c>
      <c r="AD70" s="98"/>
      <c r="AO70" s="124" t="s">
        <v>420</v>
      </c>
      <c r="AP70" s="103">
        <f>AVERAGE(AP66:AP68)</f>
        <v>0.47216389983028501</v>
      </c>
      <c r="AV70" s="98"/>
      <c r="AX70" s="123">
        <f>F429</f>
        <v>0.69911371893810959</v>
      </c>
      <c r="AY70" s="123">
        <f>L425</f>
        <v>0.28422599999999998</v>
      </c>
      <c r="BG70" s="130"/>
      <c r="BH70" s="123"/>
      <c r="BI70" s="123"/>
      <c r="BJ70" s="123"/>
      <c r="BK70" s="123"/>
      <c r="BL70" s="124" t="s">
        <v>420</v>
      </c>
      <c r="BM70" s="103">
        <f>AVERAGE(BM66:BM68)</f>
        <v>0.51255978540452152</v>
      </c>
      <c r="BN70" s="123"/>
      <c r="BO70" s="123"/>
      <c r="BP70" s="123"/>
      <c r="BQ70" s="123"/>
      <c r="BR70" s="123"/>
      <c r="BS70" s="98"/>
      <c r="EC70" s="140" t="s">
        <v>254</v>
      </c>
      <c r="ED70" s="123"/>
      <c r="EE70" s="123"/>
      <c r="EF70" s="123"/>
      <c r="EG70" s="123"/>
      <c r="EH70" s="123"/>
      <c r="EI70" s="123"/>
      <c r="EJ70" s="123"/>
      <c r="EK70" s="123"/>
      <c r="EL70" s="124" t="s">
        <v>218</v>
      </c>
      <c r="EM70" s="123"/>
      <c r="EN70" s="98"/>
      <c r="EO70" s="140" t="s">
        <v>254</v>
      </c>
      <c r="EP70" s="123"/>
      <c r="EQ70" s="123"/>
      <c r="ER70" s="123"/>
      <c r="ES70" s="123"/>
      <c r="ET70" s="123"/>
      <c r="EU70" s="123"/>
      <c r="EV70" s="123"/>
      <c r="EW70" s="123"/>
      <c r="EX70" s="124" t="s">
        <v>218</v>
      </c>
      <c r="EY70" s="123"/>
      <c r="EZ70" s="98"/>
      <c r="FA70" s="140" t="s">
        <v>254</v>
      </c>
      <c r="FB70" s="123"/>
      <c r="FC70" s="123"/>
      <c r="FD70" s="123"/>
      <c r="FE70" s="123"/>
      <c r="FF70" s="123"/>
      <c r="FG70" s="123"/>
      <c r="FH70" s="123"/>
      <c r="FI70" s="123"/>
      <c r="FJ70" s="124" t="s">
        <v>218</v>
      </c>
      <c r="FK70" s="123"/>
      <c r="FL70" s="98"/>
    </row>
    <row r="71" spans="1:168" ht="15.75" thickTop="1">
      <c r="A71" s="130"/>
      <c r="L71" s="98"/>
      <c r="AD71" s="98"/>
      <c r="AV71" s="98"/>
      <c r="AX71" s="123">
        <f>F459</f>
        <v>1.0891493654076967</v>
      </c>
      <c r="AY71" s="123">
        <f>L455</f>
        <v>0.41782599999999998</v>
      </c>
      <c r="BG71" s="130"/>
      <c r="BH71" s="123"/>
      <c r="BI71" s="123"/>
      <c r="BJ71" s="123"/>
      <c r="BK71" s="123"/>
      <c r="BL71" s="123"/>
      <c r="BM71" s="123"/>
      <c r="BN71" s="123"/>
      <c r="BO71" s="123"/>
      <c r="BP71" s="123"/>
      <c r="BQ71" s="123"/>
      <c r="BR71" s="123"/>
      <c r="BS71" s="98"/>
      <c r="EC71" s="1"/>
      <c r="ED71" s="2" t="s">
        <v>8</v>
      </c>
      <c r="EE71" s="2" t="s">
        <v>9</v>
      </c>
      <c r="EF71" s="2" t="s">
        <v>10</v>
      </c>
      <c r="EG71" s="3" t="s">
        <v>11</v>
      </c>
      <c r="EH71" s="103" t="s">
        <v>16</v>
      </c>
      <c r="EI71" s="103" t="s">
        <v>172</v>
      </c>
      <c r="EJ71" s="124" t="s">
        <v>171</v>
      </c>
      <c r="EK71" s="123"/>
      <c r="EL71" s="123">
        <f>0.13*0.02</f>
        <v>2.6000000000000003E-3</v>
      </c>
      <c r="EM71" s="103" t="s">
        <v>212</v>
      </c>
      <c r="EN71" s="98"/>
      <c r="EO71" s="1"/>
      <c r="EP71" s="2" t="s">
        <v>8</v>
      </c>
      <c r="EQ71" s="2" t="s">
        <v>9</v>
      </c>
      <c r="ER71" s="2" t="s">
        <v>10</v>
      </c>
      <c r="ES71" s="3" t="s">
        <v>11</v>
      </c>
      <c r="ET71" s="103" t="s">
        <v>16</v>
      </c>
      <c r="EU71" s="103" t="s">
        <v>172</v>
      </c>
      <c r="EV71" s="124" t="s">
        <v>171</v>
      </c>
      <c r="EW71" s="123"/>
      <c r="EX71" s="123">
        <f>0.13*0.02</f>
        <v>2.6000000000000003E-3</v>
      </c>
      <c r="EY71" s="103" t="s">
        <v>212</v>
      </c>
      <c r="EZ71" s="98"/>
      <c r="FA71" s="1"/>
      <c r="FB71" s="2" t="s">
        <v>8</v>
      </c>
      <c r="FC71" s="2" t="s">
        <v>9</v>
      </c>
      <c r="FD71" s="2" t="s">
        <v>10</v>
      </c>
      <c r="FE71" s="3" t="s">
        <v>11</v>
      </c>
      <c r="FF71" s="103" t="s">
        <v>16</v>
      </c>
      <c r="FG71" s="103" t="s">
        <v>172</v>
      </c>
      <c r="FH71" s="124" t="s">
        <v>171</v>
      </c>
      <c r="FI71" s="123"/>
      <c r="FJ71" s="123">
        <f>0.13*FK69</f>
        <v>7.8000000000000009E-4</v>
      </c>
      <c r="FK71" s="103" t="s">
        <v>212</v>
      </c>
      <c r="FL71" s="98"/>
    </row>
    <row r="72" spans="1:168" ht="15.75" thickBot="1">
      <c r="A72" s="140" t="s">
        <v>254</v>
      </c>
      <c r="J72" s="124" t="s">
        <v>218</v>
      </c>
      <c r="L72" s="98"/>
      <c r="S72" s="140" t="s">
        <v>254</v>
      </c>
      <c r="AB72" s="124" t="s">
        <v>218</v>
      </c>
      <c r="AD72" s="98"/>
      <c r="AJ72" s="140" t="s">
        <v>254</v>
      </c>
      <c r="AT72" s="124" t="s">
        <v>218</v>
      </c>
      <c r="AV72" s="98"/>
      <c r="AX72" s="123">
        <f>F489</f>
        <v>0.78105888731716033</v>
      </c>
      <c r="AY72" s="123">
        <f>L485</f>
        <v>0.28367700000000001</v>
      </c>
      <c r="BG72" s="140" t="s">
        <v>254</v>
      </c>
      <c r="BH72" s="123"/>
      <c r="BI72" s="123"/>
      <c r="BJ72" s="123"/>
      <c r="BK72" s="123"/>
      <c r="BL72" s="123"/>
      <c r="BM72" s="123"/>
      <c r="BN72" s="123"/>
      <c r="BO72" s="123"/>
      <c r="BP72" s="123"/>
      <c r="BQ72" s="124" t="s">
        <v>218</v>
      </c>
      <c r="BR72" s="123"/>
      <c r="BS72" s="98"/>
      <c r="EC72" s="4" t="s">
        <v>3</v>
      </c>
      <c r="ED72" s="100">
        <v>4411.54</v>
      </c>
      <c r="EE72" s="5">
        <v>14087</v>
      </c>
      <c r="EF72" s="5">
        <v>4277.1400000000003</v>
      </c>
      <c r="EG72" s="110">
        <f>SUM(ED72:EF72)</f>
        <v>22775.68</v>
      </c>
      <c r="EH72" s="123">
        <f>EF72/(ED72+EE72)</f>
        <v>0.23121500399490988</v>
      </c>
      <c r="EI72" s="123">
        <f>ED72/EE72</f>
        <v>0.31316390998793214</v>
      </c>
      <c r="EJ72" s="125">
        <f>ABS((EG75-EG67)/EG67)</f>
        <v>1.5168255946035891E-3</v>
      </c>
      <c r="EK72" s="123"/>
      <c r="EL72" s="123">
        <f>0.307*0.02</f>
        <v>6.1399999999999996E-3</v>
      </c>
      <c r="EM72" s="123" t="s">
        <v>213</v>
      </c>
      <c r="EN72" s="98"/>
      <c r="EO72" s="4" t="s">
        <v>3</v>
      </c>
      <c r="EP72" s="100">
        <v>22726.1</v>
      </c>
      <c r="EQ72" s="5">
        <v>38689</v>
      </c>
      <c r="ER72" s="5">
        <v>8410</v>
      </c>
      <c r="ES72" s="110">
        <f>SUM(EP72:ER72)</f>
        <v>69825.100000000006</v>
      </c>
      <c r="ET72" s="123">
        <f>ER72/(EP72+EQ72)</f>
        <v>0.1369370073483557</v>
      </c>
      <c r="EU72" s="123">
        <f>EP72/EQ72</f>
        <v>0.58740468867119855</v>
      </c>
      <c r="EV72" s="125">
        <f>ABS((ES75-ES67)/ES67)</f>
        <v>6.8443163922412287E-3</v>
      </c>
      <c r="EW72" s="123"/>
      <c r="EX72" s="123">
        <f>0.307*0.02</f>
        <v>6.1399999999999996E-3</v>
      </c>
      <c r="EY72" s="123" t="s">
        <v>213</v>
      </c>
      <c r="EZ72" s="98"/>
      <c r="FA72" s="4" t="s">
        <v>3</v>
      </c>
      <c r="FB72" s="100">
        <v>256691</v>
      </c>
      <c r="FC72" s="5">
        <v>300680</v>
      </c>
      <c r="FD72" s="5">
        <v>100734</v>
      </c>
      <c r="FE72" s="110">
        <f>SUM(FB72:FD72)</f>
        <v>658105</v>
      </c>
      <c r="FF72" s="123">
        <f>FD72/(FB72+FC72)</f>
        <v>0.18073060851748657</v>
      </c>
      <c r="FG72" s="123">
        <f>FB72/FC72</f>
        <v>0.85370160968471465</v>
      </c>
      <c r="FH72" s="125">
        <f>ABS((FE75-FE67)/FE67)</f>
        <v>1.130947667086458E-2</v>
      </c>
      <c r="FI72" s="123"/>
      <c r="FJ72" s="123">
        <f>0.307*FK69</f>
        <v>1.8420000000000001E-3</v>
      </c>
      <c r="FK72" s="123" t="s">
        <v>213</v>
      </c>
      <c r="FL72" s="98"/>
    </row>
    <row r="73" spans="1:168" ht="15.75" thickTop="1">
      <c r="A73" s="1"/>
      <c r="B73" s="2" t="s">
        <v>8</v>
      </c>
      <c r="C73" s="2" t="s">
        <v>9</v>
      </c>
      <c r="D73" s="2" t="s">
        <v>10</v>
      </c>
      <c r="E73" s="3" t="s">
        <v>11</v>
      </c>
      <c r="F73" s="103" t="s">
        <v>16</v>
      </c>
      <c r="G73" s="103" t="s">
        <v>172</v>
      </c>
      <c r="H73" s="124" t="s">
        <v>171</v>
      </c>
      <c r="J73" s="123">
        <v>0.1</v>
      </c>
      <c r="K73" s="103" t="s">
        <v>212</v>
      </c>
      <c r="L73" s="98" t="s">
        <v>240</v>
      </c>
      <c r="S73" s="1"/>
      <c r="T73" s="2" t="s">
        <v>8</v>
      </c>
      <c r="U73" s="2" t="s">
        <v>9</v>
      </c>
      <c r="V73" s="2" t="s">
        <v>10</v>
      </c>
      <c r="W73" s="3" t="s">
        <v>11</v>
      </c>
      <c r="X73" s="103" t="s">
        <v>16</v>
      </c>
      <c r="Y73" s="103" t="s">
        <v>172</v>
      </c>
      <c r="Z73" s="124" t="s">
        <v>171</v>
      </c>
      <c r="AB73" s="123">
        <v>0.05</v>
      </c>
      <c r="AC73" s="103" t="s">
        <v>212</v>
      </c>
      <c r="AD73" s="98" t="s">
        <v>240</v>
      </c>
      <c r="AJ73" s="1"/>
      <c r="AK73" s="2" t="s">
        <v>8</v>
      </c>
      <c r="AL73" s="2" t="s">
        <v>9</v>
      </c>
      <c r="AM73" s="2" t="s">
        <v>10</v>
      </c>
      <c r="AN73" s="3" t="s">
        <v>11</v>
      </c>
      <c r="AO73" s="103" t="s">
        <v>16</v>
      </c>
      <c r="AP73" s="103" t="s">
        <v>172</v>
      </c>
      <c r="AQ73" s="124" t="s">
        <v>171</v>
      </c>
      <c r="AT73" s="123">
        <v>0.03</v>
      </c>
      <c r="AU73" s="103" t="s">
        <v>212</v>
      </c>
      <c r="AV73" s="98" t="s">
        <v>240</v>
      </c>
      <c r="AX73" s="123">
        <f>F519</f>
        <v>1.3535564765175807</v>
      </c>
      <c r="AY73" s="123">
        <f>L515</f>
        <v>0.55081400000000003</v>
      </c>
      <c r="BG73" s="1"/>
      <c r="BH73" s="2" t="s">
        <v>8</v>
      </c>
      <c r="BI73" s="2" t="s">
        <v>9</v>
      </c>
      <c r="BJ73" s="2" t="s">
        <v>10</v>
      </c>
      <c r="BK73" s="3" t="s">
        <v>11</v>
      </c>
      <c r="BL73" s="103" t="s">
        <v>16</v>
      </c>
      <c r="BM73" s="103" t="s">
        <v>172</v>
      </c>
      <c r="BN73" s="124" t="s">
        <v>171</v>
      </c>
      <c r="BO73" s="123"/>
      <c r="BP73" s="123"/>
      <c r="BQ73" s="123">
        <v>1.4999999999999999E-2</v>
      </c>
      <c r="BR73" s="103" t="s">
        <v>212</v>
      </c>
      <c r="BS73" s="98" t="s">
        <v>240</v>
      </c>
      <c r="EC73" s="4" t="s">
        <v>4</v>
      </c>
      <c r="ED73" s="5">
        <v>14020.6</v>
      </c>
      <c r="EE73" s="5">
        <v>17193.5</v>
      </c>
      <c r="EF73" s="5">
        <v>7217.18</v>
      </c>
      <c r="EG73" s="112">
        <f t="shared" ref="EG73:EG74" si="283">SUM(ED73:EF73)</f>
        <v>38431.279999999999</v>
      </c>
      <c r="EH73" s="123">
        <f t="shared" ref="EH73:EH75" si="284">EF73/(ED73+EE73)</f>
        <v>0.23121538022880686</v>
      </c>
      <c r="EI73" s="123">
        <f t="shared" ref="EI73:EI75" si="285">ED73/EE73</f>
        <v>0.81545933056096787</v>
      </c>
      <c r="EJ73" s="123"/>
      <c r="EK73" s="123"/>
      <c r="EL73" s="123">
        <f>0.23*0.02</f>
        <v>4.5999999999999999E-3</v>
      </c>
      <c r="EM73" s="123" t="s">
        <v>214</v>
      </c>
      <c r="EN73" s="98"/>
      <c r="EO73" s="4" t="s">
        <v>4</v>
      </c>
      <c r="EP73" s="5">
        <v>38063.1</v>
      </c>
      <c r="EQ73" s="5">
        <v>31361</v>
      </c>
      <c r="ER73" s="5">
        <v>9506.73</v>
      </c>
      <c r="ES73" s="112">
        <f t="shared" ref="ES73:ES74" si="286">SUM(EP73:ER73)</f>
        <v>78930.83</v>
      </c>
      <c r="ET73" s="123">
        <f t="shared" ref="ET73:ET75" si="287">ER73/(EP73+EQ73)</f>
        <v>0.13693702907203692</v>
      </c>
      <c r="EU73" s="123">
        <f t="shared" ref="EU73:EU75" si="288">EP73/EQ73</f>
        <v>1.213708108797551</v>
      </c>
      <c r="EV73" s="123"/>
      <c r="EW73" s="123"/>
      <c r="EX73" s="123">
        <f>0.23*0.02</f>
        <v>4.5999999999999999E-3</v>
      </c>
      <c r="EY73" s="123" t="s">
        <v>214</v>
      </c>
      <c r="EZ73" s="98"/>
      <c r="FA73" s="4" t="s">
        <v>4</v>
      </c>
      <c r="FB73" s="5">
        <v>293689</v>
      </c>
      <c r="FC73" s="5">
        <v>148333</v>
      </c>
      <c r="FD73" s="5">
        <v>79887.100000000006</v>
      </c>
      <c r="FE73" s="112">
        <f t="shared" ref="FE73:FE74" si="289">SUM(FB73:FD73)</f>
        <v>521909.1</v>
      </c>
      <c r="FF73" s="123">
        <f t="shared" ref="FF73:FF75" si="290">FD73/(FB73+FC73)</f>
        <v>0.18073104958576724</v>
      </c>
      <c r="FG73" s="123">
        <f t="shared" ref="FG73:FG75" si="291">FB73/FC73</f>
        <v>1.9799302919781843</v>
      </c>
      <c r="FH73" s="123"/>
      <c r="FI73" s="123"/>
      <c r="FJ73" s="123">
        <f>0.23*FK69</f>
        <v>1.3800000000000002E-3</v>
      </c>
      <c r="FK73" s="123" t="s">
        <v>214</v>
      </c>
      <c r="FL73" s="98"/>
    </row>
    <row r="74" spans="1:168">
      <c r="A74" s="4" t="s">
        <v>3</v>
      </c>
      <c r="B74" s="100">
        <v>596.98500000000001</v>
      </c>
      <c r="C74" s="5">
        <v>1487.05</v>
      </c>
      <c r="D74" s="5">
        <v>222.49100000000001</v>
      </c>
      <c r="E74" s="110">
        <f>SUM(B74:D74)</f>
        <v>2306.5259999999998</v>
      </c>
      <c r="F74" s="123">
        <f>D74/(B74+C74)</f>
        <v>0.10675972332518409</v>
      </c>
      <c r="G74" s="123">
        <f>B74/C74</f>
        <v>0.4014559026260045</v>
      </c>
      <c r="H74" s="125">
        <f>ABS((E77-E69)/E69)</f>
        <v>3.3928711098269249E-3</v>
      </c>
      <c r="J74" s="123">
        <f>J73</f>
        <v>0.1</v>
      </c>
      <c r="K74" s="123" t="s">
        <v>213</v>
      </c>
      <c r="L74" s="98" t="s">
        <v>241</v>
      </c>
      <c r="S74" s="4" t="s">
        <v>3</v>
      </c>
      <c r="T74" s="100">
        <v>645.93899999999996</v>
      </c>
      <c r="U74" s="5">
        <v>1069.97</v>
      </c>
      <c r="V74" s="5">
        <v>378.05500000000001</v>
      </c>
      <c r="W74" s="110">
        <f>SUM(T74:V74)</f>
        <v>2093.9639999999999</v>
      </c>
      <c r="X74" s="123">
        <f>V74/(T74+U74)</f>
        <v>0.2203234553813751</v>
      </c>
      <c r="Y74" s="123">
        <f>T74/U74</f>
        <v>0.60369823452994009</v>
      </c>
      <c r="Z74" s="125">
        <f>ABS((W77-W69)/W69)</f>
        <v>5.8274327501008161E-3</v>
      </c>
      <c r="AB74" s="123">
        <f>AB73</f>
        <v>0.05</v>
      </c>
      <c r="AC74" s="123" t="s">
        <v>213</v>
      </c>
      <c r="AD74" s="98" t="s">
        <v>241</v>
      </c>
      <c r="AJ74" s="4" t="s">
        <v>3</v>
      </c>
      <c r="AK74" s="100">
        <v>1520.01</v>
      </c>
      <c r="AL74" s="5">
        <v>3164.2</v>
      </c>
      <c r="AM74" s="5">
        <v>501.25099999999998</v>
      </c>
      <c r="AN74" s="110">
        <f>SUM(AK74:AM74)</f>
        <v>5185.4610000000002</v>
      </c>
      <c r="AO74" s="123">
        <f>AM74/(AK74+AL74)</f>
        <v>0.1070086524728823</v>
      </c>
      <c r="AP74" s="123">
        <f>AK74/AL74</f>
        <v>0.4803773465646925</v>
      </c>
      <c r="AQ74" s="125">
        <f>ABS((AN77-AN69)/AN69)</f>
        <v>9.9594566813343273E-4</v>
      </c>
      <c r="AT74" s="123">
        <f>AT73</f>
        <v>0.03</v>
      </c>
      <c r="AU74" s="123" t="s">
        <v>213</v>
      </c>
      <c r="AV74" s="98" t="s">
        <v>241</v>
      </c>
      <c r="AX74" s="123">
        <f>AO219</f>
        <v>0.19649800863578967</v>
      </c>
      <c r="AY74" s="123">
        <f>AU215</f>
        <v>7.6402200000000003E-2</v>
      </c>
      <c r="BG74" s="4" t="s">
        <v>3</v>
      </c>
      <c r="BH74" s="100">
        <v>361.678</v>
      </c>
      <c r="BI74" s="5">
        <v>741.38699999999994</v>
      </c>
      <c r="BJ74" s="5">
        <v>532.20100000000002</v>
      </c>
      <c r="BK74" s="110">
        <f>SUM(BH74:BJ74)</f>
        <v>1635.2660000000001</v>
      </c>
      <c r="BL74" s="123">
        <f>BJ74/(BH74+BI74)</f>
        <v>0.48247474083576219</v>
      </c>
      <c r="BM74" s="123">
        <f>BH74/BI74</f>
        <v>0.48783968426746088</v>
      </c>
      <c r="BN74" s="125">
        <f>ABS((BK77-BK69)/BK69)</f>
        <v>2.5799486518998838E-3</v>
      </c>
      <c r="BO74" s="123"/>
      <c r="BP74" s="123"/>
      <c r="BQ74" s="123">
        <f>BQ73</f>
        <v>1.4999999999999999E-2</v>
      </c>
      <c r="BR74" s="123" t="s">
        <v>213</v>
      </c>
      <c r="BS74" s="98" t="s">
        <v>241</v>
      </c>
      <c r="EC74" s="4" t="s">
        <v>5</v>
      </c>
      <c r="ED74" s="5">
        <v>4343.49</v>
      </c>
      <c r="EE74" s="5">
        <v>7150.82</v>
      </c>
      <c r="EF74" s="5">
        <v>2657.66</v>
      </c>
      <c r="EG74" s="108">
        <f t="shared" si="283"/>
        <v>14151.97</v>
      </c>
      <c r="EH74" s="123">
        <f t="shared" si="284"/>
        <v>0.23121527086010382</v>
      </c>
      <c r="EI74" s="123">
        <f t="shared" si="285"/>
        <v>0.60741145770694827</v>
      </c>
      <c r="EJ74" s="123"/>
      <c r="EK74" s="123" t="s">
        <v>397</v>
      </c>
      <c r="EL74" s="123"/>
      <c r="EM74" s="103" t="s">
        <v>215</v>
      </c>
      <c r="EN74" s="98"/>
      <c r="EO74" s="4" t="s">
        <v>5</v>
      </c>
      <c r="EP74" s="5">
        <v>9035.8700000000008</v>
      </c>
      <c r="EQ74" s="5">
        <v>8880.86</v>
      </c>
      <c r="ER74" s="5">
        <v>2453.4699999999998</v>
      </c>
      <c r="ES74" s="108">
        <f t="shared" si="286"/>
        <v>20370.200000000004</v>
      </c>
      <c r="ET74" s="123">
        <f t="shared" si="287"/>
        <v>0.1369373764074136</v>
      </c>
      <c r="EU74" s="123">
        <f t="shared" si="288"/>
        <v>1.0174543906783802</v>
      </c>
      <c r="EV74" s="123"/>
      <c r="EW74" s="123" t="s">
        <v>397</v>
      </c>
      <c r="EX74" s="123"/>
      <c r="EY74" s="103" t="s">
        <v>215</v>
      </c>
      <c r="EZ74" s="98"/>
      <c r="FA74" s="4" t="s">
        <v>5</v>
      </c>
      <c r="FB74" s="5">
        <v>107725</v>
      </c>
      <c r="FC74" s="5">
        <v>72895.899999999994</v>
      </c>
      <c r="FD74" s="5">
        <v>32643.9</v>
      </c>
      <c r="FE74" s="108">
        <f t="shared" si="289"/>
        <v>213264.8</v>
      </c>
      <c r="FF74" s="123">
        <f t="shared" si="290"/>
        <v>0.18073157646761812</v>
      </c>
      <c r="FG74" s="123">
        <f t="shared" si="291"/>
        <v>1.4777923038195564</v>
      </c>
      <c r="FH74" s="123"/>
      <c r="FI74" s="123" t="s">
        <v>397</v>
      </c>
      <c r="FJ74" s="123"/>
      <c r="FK74" s="103" t="s">
        <v>215</v>
      </c>
      <c r="FL74" s="98"/>
    </row>
    <row r="75" spans="1:168" ht="15.75" thickBot="1">
      <c r="A75" s="4" t="s">
        <v>4</v>
      </c>
      <c r="B75" s="5">
        <v>1466.88</v>
      </c>
      <c r="C75" s="5">
        <v>3295.84</v>
      </c>
      <c r="D75" s="5">
        <v>508.46800000000002</v>
      </c>
      <c r="E75" s="112">
        <f t="shared" ref="E75:E76" si="292">SUM(B75:D75)</f>
        <v>5271.1880000000001</v>
      </c>
      <c r="F75" s="123">
        <f t="shared" ref="F75:F77" si="293">D75/(B75+C75)</f>
        <v>0.10676000268753989</v>
      </c>
      <c r="G75" s="123">
        <f t="shared" ref="G75:G77" si="294">B75/C75</f>
        <v>0.445070149036361</v>
      </c>
      <c r="J75" s="123">
        <f t="shared" ref="J75:J78" si="295">J74</f>
        <v>0.1</v>
      </c>
      <c r="K75" s="123" t="s">
        <v>214</v>
      </c>
      <c r="L75" s="98" t="s">
        <v>242</v>
      </c>
      <c r="S75" s="4" t="s">
        <v>4</v>
      </c>
      <c r="T75" s="5">
        <v>1051.04</v>
      </c>
      <c r="U75" s="5">
        <v>1736.88</v>
      </c>
      <c r="V75" s="5">
        <v>614.24400000000003</v>
      </c>
      <c r="W75" s="112">
        <f t="shared" ref="W75:W76" si="296">SUM(T75:V75)</f>
        <v>3402.1640000000002</v>
      </c>
      <c r="X75" s="123">
        <f t="shared" ref="X75:X77" si="297">V75/(T75+U75)</f>
        <v>0.22032339521937502</v>
      </c>
      <c r="Y75" s="123">
        <f t="shared" ref="Y75:Y77" si="298">T75/U75</f>
        <v>0.60513103956519732</v>
      </c>
      <c r="AB75" s="123">
        <f t="shared" ref="AB75:AB78" si="299">AB74</f>
        <v>0.05</v>
      </c>
      <c r="AC75" s="123" t="s">
        <v>214</v>
      </c>
      <c r="AD75" s="98" t="s">
        <v>242</v>
      </c>
      <c r="AJ75" s="4" t="s">
        <v>4</v>
      </c>
      <c r="AK75" s="5">
        <v>3173.63</v>
      </c>
      <c r="AL75" s="5">
        <v>6684.29</v>
      </c>
      <c r="AM75" s="5">
        <v>1054.8800000000001</v>
      </c>
      <c r="AN75" s="112">
        <f t="shared" ref="AN75:AN76" si="300">SUM(AK75:AM75)</f>
        <v>10912.8</v>
      </c>
      <c r="AO75" s="123">
        <f t="shared" ref="AO75:AO77" si="301">AM75/(AK75+AL75)</f>
        <v>0.1070083749918847</v>
      </c>
      <c r="AP75" s="123">
        <f t="shared" ref="AP75:AP77" si="302">AK75/AL75</f>
        <v>0.47478939423633626</v>
      </c>
      <c r="AT75" s="123">
        <f t="shared" ref="AT75" si="303">AT74</f>
        <v>0.03</v>
      </c>
      <c r="AU75" s="123" t="s">
        <v>214</v>
      </c>
      <c r="AV75" s="98" t="s">
        <v>242</v>
      </c>
      <c r="BG75" s="4" t="s">
        <v>4</v>
      </c>
      <c r="BH75" s="5">
        <v>733.36</v>
      </c>
      <c r="BI75" s="5">
        <v>1419.86</v>
      </c>
      <c r="BJ75" s="5">
        <v>1038.8699999999999</v>
      </c>
      <c r="BK75" s="112">
        <f t="shared" ref="BK75:BK76" si="304">SUM(BH75:BJ75)</f>
        <v>3192.0899999999997</v>
      </c>
      <c r="BL75" s="123">
        <f t="shared" ref="BL75:BL77" si="305">BJ75/(BH75+BI75)</f>
        <v>0.48247276172430126</v>
      </c>
      <c r="BM75" s="123">
        <f t="shared" ref="BM75:BM77" si="306">BH75/BI75</f>
        <v>0.51650162692096413</v>
      </c>
      <c r="BN75" s="123"/>
      <c r="BO75" s="123"/>
      <c r="BP75" s="123"/>
      <c r="BQ75" s="123">
        <f t="shared" ref="BQ75" si="307">BQ74</f>
        <v>1.4999999999999999E-2</v>
      </c>
      <c r="BR75" s="123" t="s">
        <v>214</v>
      </c>
      <c r="BS75" s="98" t="s">
        <v>242</v>
      </c>
      <c r="EC75" s="7"/>
      <c r="ED75" s="111">
        <f>SUM(ED72:ED74)</f>
        <v>22775.629999999997</v>
      </c>
      <c r="EE75" s="113">
        <f t="shared" ref="EE75:EF75" si="308">SUM(EE72:EE74)</f>
        <v>38431.32</v>
      </c>
      <c r="EF75" s="109">
        <f t="shared" si="308"/>
        <v>14151.98</v>
      </c>
      <c r="EG75" s="102">
        <f>SUM(EG72:EG74)</f>
        <v>75358.929999999993</v>
      </c>
      <c r="EH75" s="123">
        <f t="shared" si="284"/>
        <v>0.23121524598105281</v>
      </c>
      <c r="EI75" s="123">
        <f t="shared" si="285"/>
        <v>0.59263199910905995</v>
      </c>
      <c r="EJ75" s="123"/>
      <c r="EK75" s="123" t="s">
        <v>398</v>
      </c>
      <c r="EL75" s="123"/>
      <c r="EM75" s="103" t="s">
        <v>216</v>
      </c>
      <c r="EN75" s="98"/>
      <c r="EO75" s="7"/>
      <c r="EP75" s="111">
        <f>SUM(EP72:EP74)</f>
        <v>69825.069999999992</v>
      </c>
      <c r="EQ75" s="113">
        <f t="shared" ref="EQ75:ER75" si="309">SUM(EQ72:EQ74)</f>
        <v>78930.86</v>
      </c>
      <c r="ER75" s="109">
        <f t="shared" si="309"/>
        <v>20370.2</v>
      </c>
      <c r="ES75" s="102">
        <f>SUM(ES72:ES74)</f>
        <v>169126.13</v>
      </c>
      <c r="ET75" s="123">
        <f t="shared" si="287"/>
        <v>0.13693706193763167</v>
      </c>
      <c r="EU75" s="123">
        <f t="shared" si="288"/>
        <v>0.88463586992464027</v>
      </c>
      <c r="EV75" s="123"/>
      <c r="EW75" s="123" t="s">
        <v>398</v>
      </c>
      <c r="EX75" s="123"/>
      <c r="EY75" s="103" t="s">
        <v>216</v>
      </c>
      <c r="EZ75" s="98"/>
      <c r="FA75" s="7"/>
      <c r="FB75" s="111">
        <f>SUM(FB72:FB74)</f>
        <v>658105</v>
      </c>
      <c r="FC75" s="113">
        <f t="shared" ref="FC75:FD75" si="310">SUM(FC72:FC74)</f>
        <v>521908.9</v>
      </c>
      <c r="FD75" s="109">
        <f t="shared" si="310"/>
        <v>213265</v>
      </c>
      <c r="FE75" s="102">
        <f>SUM(FE72:FE74)</f>
        <v>1393278.9000000001</v>
      </c>
      <c r="FF75" s="123">
        <f t="shared" si="290"/>
        <v>0.1807309218984624</v>
      </c>
      <c r="FG75" s="123">
        <f t="shared" si="291"/>
        <v>1.2609576115678425</v>
      </c>
      <c r="FH75" s="123"/>
      <c r="FI75" s="123" t="s">
        <v>398</v>
      </c>
      <c r="FJ75" s="123"/>
      <c r="FK75" s="103" t="s">
        <v>216</v>
      </c>
      <c r="FL75" s="98"/>
    </row>
    <row r="76" spans="1:168" ht="15.75" thickTop="1">
      <c r="A76" s="4" t="s">
        <v>5</v>
      </c>
      <c r="B76" s="5">
        <v>242.65799999999999</v>
      </c>
      <c r="C76" s="5">
        <v>488.30099999999999</v>
      </c>
      <c r="D76" s="5">
        <v>78.037300000000002</v>
      </c>
      <c r="E76" s="108">
        <f t="shared" si="292"/>
        <v>808.99629999999991</v>
      </c>
      <c r="F76" s="123">
        <f t="shared" si="293"/>
        <v>0.10676016028258768</v>
      </c>
      <c r="G76" s="123">
        <f t="shared" si="294"/>
        <v>0.49694348362997415</v>
      </c>
      <c r="J76" s="123">
        <f t="shared" si="295"/>
        <v>0.1</v>
      </c>
      <c r="K76" s="103" t="s">
        <v>215</v>
      </c>
      <c r="L76" s="98" t="s">
        <v>243</v>
      </c>
      <c r="S76" s="4" t="s">
        <v>5</v>
      </c>
      <c r="T76" s="5">
        <v>396.98599999999999</v>
      </c>
      <c r="U76" s="5">
        <v>595.31299999999999</v>
      </c>
      <c r="V76" s="5">
        <v>218.626</v>
      </c>
      <c r="W76" s="108">
        <f t="shared" si="296"/>
        <v>1210.925</v>
      </c>
      <c r="X76" s="123">
        <f t="shared" si="297"/>
        <v>0.22032270515237848</v>
      </c>
      <c r="Y76" s="123">
        <f t="shared" si="298"/>
        <v>0.66685256327343767</v>
      </c>
      <c r="AB76" s="123">
        <f t="shared" si="299"/>
        <v>0.05</v>
      </c>
      <c r="AC76" s="103" t="s">
        <v>215</v>
      </c>
      <c r="AD76" s="98" t="s">
        <v>243</v>
      </c>
      <c r="AJ76" s="4" t="s">
        <v>5</v>
      </c>
      <c r="AK76" s="5">
        <v>491.82</v>
      </c>
      <c r="AL76" s="5">
        <v>1064.31</v>
      </c>
      <c r="AM76" s="5">
        <v>166.52</v>
      </c>
      <c r="AN76" s="108">
        <f t="shared" si="300"/>
        <v>1722.6499999999999</v>
      </c>
      <c r="AO76" s="123">
        <f t="shared" si="301"/>
        <v>0.10700905451344041</v>
      </c>
      <c r="AP76" s="123">
        <f t="shared" si="302"/>
        <v>0.46210220706373145</v>
      </c>
      <c r="AT76" s="123">
        <f t="shared" ref="AT76" si="311">AT75</f>
        <v>0.03</v>
      </c>
      <c r="AU76" s="103" t="s">
        <v>215</v>
      </c>
      <c r="AV76" s="98" t="s">
        <v>243</v>
      </c>
      <c r="BG76" s="4" t="s">
        <v>5</v>
      </c>
      <c r="BH76" s="5">
        <v>540.22799999999995</v>
      </c>
      <c r="BI76" s="5">
        <v>1030.8499999999999</v>
      </c>
      <c r="BJ76" s="5">
        <v>758.00400000000002</v>
      </c>
      <c r="BK76" s="108">
        <f t="shared" si="304"/>
        <v>2329.0819999999999</v>
      </c>
      <c r="BL76" s="123">
        <f t="shared" si="305"/>
        <v>0.48247381734070494</v>
      </c>
      <c r="BM76" s="123">
        <f t="shared" si="306"/>
        <v>0.52406072658485714</v>
      </c>
      <c r="BN76" s="123"/>
      <c r="BO76" s="123"/>
      <c r="BP76" s="123"/>
      <c r="BQ76" s="123">
        <f t="shared" ref="BQ76" si="312">BQ75</f>
        <v>1.4999999999999999E-2</v>
      </c>
      <c r="BR76" s="103" t="s">
        <v>215</v>
      </c>
      <c r="BS76" s="98" t="s">
        <v>243</v>
      </c>
      <c r="EC76" s="130"/>
      <c r="ED76" s="123"/>
      <c r="EE76" s="123"/>
      <c r="EF76" s="123"/>
      <c r="EG76" s="123"/>
      <c r="EH76" s="124" t="s">
        <v>420</v>
      </c>
      <c r="EI76" s="103">
        <f>AVERAGE(EI72:EI74)</f>
        <v>0.57867823275194941</v>
      </c>
      <c r="EJ76" s="123"/>
      <c r="EK76" s="123" t="s">
        <v>399</v>
      </c>
      <c r="EL76" s="123"/>
      <c r="EM76" s="103" t="s">
        <v>217</v>
      </c>
      <c r="EN76" s="98"/>
      <c r="EO76" s="130"/>
      <c r="EP76" s="123"/>
      <c r="EQ76" s="123"/>
      <c r="ER76" s="123"/>
      <c r="ES76" s="123"/>
      <c r="ET76" s="124" t="s">
        <v>420</v>
      </c>
      <c r="EU76" s="103">
        <f>AVERAGE(EU72:EU74)</f>
        <v>0.9395223960490432</v>
      </c>
      <c r="EV76" s="123"/>
      <c r="EW76" s="123" t="s">
        <v>399</v>
      </c>
      <c r="EX76" s="123"/>
      <c r="EY76" s="103" t="s">
        <v>217</v>
      </c>
      <c r="EZ76" s="98"/>
      <c r="FA76" s="130"/>
      <c r="FB76" s="123"/>
      <c r="FC76" s="123"/>
      <c r="FD76" s="123"/>
      <c r="FE76" s="123"/>
      <c r="FF76" s="124" t="s">
        <v>420</v>
      </c>
      <c r="FG76" s="103">
        <f>AVERAGE(FG72:FG74)</f>
        <v>1.4371414018274853</v>
      </c>
      <c r="FH76" s="123"/>
      <c r="FI76" s="123" t="s">
        <v>399</v>
      </c>
      <c r="FJ76" s="123"/>
      <c r="FK76" s="103" t="s">
        <v>217</v>
      </c>
      <c r="FL76" s="98"/>
    </row>
    <row r="77" spans="1:168" ht="15.75" thickBot="1">
      <c r="A77" s="7"/>
      <c r="B77" s="111">
        <f>SUM(B74:B76)</f>
        <v>2306.5230000000001</v>
      </c>
      <c r="C77" s="113">
        <f t="shared" ref="C77:D77" si="313">SUM(C74:C76)</f>
        <v>5271.1910000000007</v>
      </c>
      <c r="D77" s="109">
        <f t="shared" si="313"/>
        <v>808.99630000000002</v>
      </c>
      <c r="E77" s="102">
        <f>SUM(E74:E76)</f>
        <v>8386.7103000000006</v>
      </c>
      <c r="F77" s="123">
        <f t="shared" si="293"/>
        <v>0.10675994105874145</v>
      </c>
      <c r="G77" s="123">
        <f t="shared" si="294"/>
        <v>0.4375715089815565</v>
      </c>
      <c r="J77" s="123">
        <f t="shared" si="295"/>
        <v>0.1</v>
      </c>
      <c r="K77" s="103" t="s">
        <v>216</v>
      </c>
      <c r="L77" s="98" t="s">
        <v>244</v>
      </c>
      <c r="S77" s="7"/>
      <c r="T77" s="111">
        <f>SUM(T74:T76)</f>
        <v>2093.9649999999997</v>
      </c>
      <c r="U77" s="113">
        <f t="shared" ref="U77:V77" si="314">SUM(U74:U76)</f>
        <v>3402.1630000000005</v>
      </c>
      <c r="V77" s="109">
        <f t="shared" si="314"/>
        <v>1210.925</v>
      </c>
      <c r="W77" s="102">
        <f>SUM(W74:W76)</f>
        <v>6707.0530000000008</v>
      </c>
      <c r="X77" s="123">
        <f t="shared" si="297"/>
        <v>0.2203232894139292</v>
      </c>
      <c r="Y77" s="123">
        <f t="shared" si="298"/>
        <v>0.61548050460839165</v>
      </c>
      <c r="AB77" s="123">
        <f t="shared" si="299"/>
        <v>0.05</v>
      </c>
      <c r="AC77" s="103" t="s">
        <v>216</v>
      </c>
      <c r="AD77" s="98" t="s">
        <v>244</v>
      </c>
      <c r="AJ77" s="7"/>
      <c r="AK77" s="111">
        <f>SUM(AK74:AK76)</f>
        <v>5185.46</v>
      </c>
      <c r="AL77" s="113">
        <f t="shared" ref="AL77:AM77" si="315">SUM(AL74:AL76)</f>
        <v>10912.8</v>
      </c>
      <c r="AM77" s="109">
        <f t="shared" si="315"/>
        <v>1722.6510000000001</v>
      </c>
      <c r="AN77" s="102">
        <f>SUM(AN74:AN76)</f>
        <v>17820.911</v>
      </c>
      <c r="AO77" s="123">
        <f t="shared" si="301"/>
        <v>0.10700852141784269</v>
      </c>
      <c r="AP77" s="123">
        <f t="shared" si="302"/>
        <v>0.47517227475991497</v>
      </c>
      <c r="AT77" s="123">
        <f t="shared" ref="AT77" si="316">AT76</f>
        <v>0.03</v>
      </c>
      <c r="AU77" s="103" t="s">
        <v>216</v>
      </c>
      <c r="AV77" s="98" t="s">
        <v>244</v>
      </c>
      <c r="BG77" s="7"/>
      <c r="BH77" s="111">
        <f>SUM(BH74:BH76)</f>
        <v>1635.2660000000001</v>
      </c>
      <c r="BI77" s="113">
        <f t="shared" ref="BI77:BJ77" si="317">SUM(BI74:BI76)</f>
        <v>3192.0969999999998</v>
      </c>
      <c r="BJ77" s="109">
        <f t="shared" si="317"/>
        <v>2329.0749999999998</v>
      </c>
      <c r="BK77" s="102">
        <f>SUM(BK74:BK76)</f>
        <v>7156.4380000000001</v>
      </c>
      <c r="BL77" s="123">
        <f t="shared" si="305"/>
        <v>0.48247355750955545</v>
      </c>
      <c r="BM77" s="123">
        <f t="shared" si="306"/>
        <v>0.5122858108635171</v>
      </c>
      <c r="BN77" s="123"/>
      <c r="BO77" s="123"/>
      <c r="BP77" s="123"/>
      <c r="BQ77" s="123">
        <f t="shared" ref="BQ77" si="318">BQ76</f>
        <v>1.4999999999999999E-2</v>
      </c>
      <c r="BR77" s="103" t="s">
        <v>216</v>
      </c>
      <c r="BS77" s="98" t="s">
        <v>244</v>
      </c>
      <c r="EC77" s="130" t="s">
        <v>12</v>
      </c>
      <c r="ED77" s="123">
        <f>ED72/ED64</f>
        <v>0.96573177352410644</v>
      </c>
      <c r="EE77" s="123" t="s">
        <v>163</v>
      </c>
      <c r="EF77" s="123">
        <f>EE72/EE64</f>
        <v>1.0184723276578824</v>
      </c>
      <c r="EG77" s="124" t="s">
        <v>255</v>
      </c>
      <c r="EH77" s="123"/>
      <c r="EI77" s="123"/>
      <c r="EJ77" s="123"/>
      <c r="EK77" s="123"/>
      <c r="EL77" s="124" t="s">
        <v>423</v>
      </c>
      <c r="EM77" s="123"/>
      <c r="EN77" s="98"/>
      <c r="EO77" s="130" t="s">
        <v>12</v>
      </c>
      <c r="EP77" s="123">
        <f>EP72/EP64</f>
        <v>0.97416915644678004</v>
      </c>
      <c r="EQ77" s="123" t="s">
        <v>163</v>
      </c>
      <c r="ER77" s="123">
        <f>EQ72/EQ64</f>
        <v>1.0086765633717627</v>
      </c>
      <c r="ES77" s="124" t="s">
        <v>255</v>
      </c>
      <c r="ET77" s="123"/>
      <c r="EU77" s="123"/>
      <c r="EV77" s="123"/>
      <c r="EW77" s="123"/>
      <c r="EX77" s="124" t="s">
        <v>423</v>
      </c>
      <c r="EY77" s="123"/>
      <c r="EZ77" s="98"/>
      <c r="FA77" s="130" t="s">
        <v>12</v>
      </c>
      <c r="FB77" s="123">
        <f>FB72/FB64</f>
        <v>0.96140031535934856</v>
      </c>
      <c r="FC77" s="123" t="s">
        <v>163</v>
      </c>
      <c r="FD77" s="123">
        <f>FC72/FC64</f>
        <v>1.0204684217492677</v>
      </c>
      <c r="FE77" s="124" t="s">
        <v>255</v>
      </c>
      <c r="FF77" s="123"/>
      <c r="FG77" s="123"/>
      <c r="FH77" s="123"/>
      <c r="FI77" s="123"/>
      <c r="FJ77" s="124" t="s">
        <v>423</v>
      </c>
      <c r="FK77" s="123"/>
      <c r="FL77" s="98"/>
    </row>
    <row r="78" spans="1:168" ht="15.75" thickTop="1">
      <c r="A78" s="130"/>
      <c r="F78" s="124" t="s">
        <v>420</v>
      </c>
      <c r="G78" s="103">
        <f>AVERAGE(G74:G76)</f>
        <v>0.44782317843077984</v>
      </c>
      <c r="J78" s="123">
        <f t="shared" si="295"/>
        <v>0.1</v>
      </c>
      <c r="K78" s="103" t="s">
        <v>217</v>
      </c>
      <c r="L78" s="98" t="s">
        <v>245</v>
      </c>
      <c r="X78" s="124" t="s">
        <v>420</v>
      </c>
      <c r="Y78" s="103">
        <f>AVERAGE(Y74:Y76)</f>
        <v>0.62522727912285836</v>
      </c>
      <c r="AB78" s="123">
        <f t="shared" si="299"/>
        <v>0.05</v>
      </c>
      <c r="AC78" s="103" t="s">
        <v>217</v>
      </c>
      <c r="AD78" s="98" t="s">
        <v>245</v>
      </c>
      <c r="AO78" s="124" t="s">
        <v>420</v>
      </c>
      <c r="AP78" s="103">
        <f>AVERAGE(AP74:AP76)</f>
        <v>0.47242298262158672</v>
      </c>
      <c r="AT78" s="123">
        <f t="shared" ref="AT78" si="319">AT77</f>
        <v>0.03</v>
      </c>
      <c r="AU78" s="103" t="s">
        <v>217</v>
      </c>
      <c r="AV78" s="98" t="s">
        <v>245</v>
      </c>
      <c r="BG78" s="130"/>
      <c r="BH78" s="123"/>
      <c r="BI78" s="123"/>
      <c r="BJ78" s="123"/>
      <c r="BK78" s="123"/>
      <c r="BL78" s="124" t="s">
        <v>420</v>
      </c>
      <c r="BM78" s="103">
        <f>AVERAGE(BM74:BM76)</f>
        <v>0.50946734592442733</v>
      </c>
      <c r="BN78" s="123"/>
      <c r="BO78" s="123"/>
      <c r="BP78" s="123"/>
      <c r="BQ78" s="123">
        <f t="shared" ref="BQ78" si="320">BQ77</f>
        <v>1.4999999999999999E-2</v>
      </c>
      <c r="BR78" s="103" t="s">
        <v>217</v>
      </c>
      <c r="BS78" s="98" t="s">
        <v>245</v>
      </c>
      <c r="EC78" s="130" t="s">
        <v>13</v>
      </c>
      <c r="ED78" s="123">
        <f t="shared" ref="ED78:ED79" si="321">ED73/ED65</f>
        <v>0.96551296706929091</v>
      </c>
      <c r="EE78" s="123" t="s">
        <v>164</v>
      </c>
      <c r="EF78" s="123">
        <f t="shared" ref="EF78:EF79" si="322">EE73/EE65</f>
        <v>1.0184697038805333</v>
      </c>
      <c r="EG78" s="123">
        <f>VAR(EI64:EI66)</f>
        <v>7.0889209711328616E-2</v>
      </c>
      <c r="EH78" s="124">
        <f>STDEV(EI64:EI66)/EI68</f>
        <v>0.43623062311077448</v>
      </c>
      <c r="EI78" s="124" t="s">
        <v>449</v>
      </c>
      <c r="EJ78" s="123"/>
      <c r="EK78" s="123"/>
      <c r="EL78" s="123" t="s">
        <v>415</v>
      </c>
      <c r="EM78" s="123"/>
      <c r="EN78" s="98"/>
      <c r="EO78" s="130" t="s">
        <v>13</v>
      </c>
      <c r="EP78" s="123">
        <f t="shared" ref="EP78:EP79" si="323">EP73/EP65</f>
        <v>0.97430062635824011</v>
      </c>
      <c r="EQ78" s="123" t="s">
        <v>164</v>
      </c>
      <c r="ER78" s="123">
        <f t="shared" ref="ER78:ER79" si="324">EQ73/EQ65</f>
        <v>1.008677696582956</v>
      </c>
      <c r="ES78" s="123">
        <f>VAR(EU64:EU66)</f>
        <v>0.1099547376611254</v>
      </c>
      <c r="ET78" s="124">
        <f>STDEV(EU64:EU66)/EU68</f>
        <v>0.34090677458749302</v>
      </c>
      <c r="EU78" s="124" t="s">
        <v>449</v>
      </c>
      <c r="EV78" s="123"/>
      <c r="EW78" s="123"/>
      <c r="EX78" s="123" t="s">
        <v>415</v>
      </c>
      <c r="EY78" s="123"/>
      <c r="EZ78" s="98"/>
      <c r="FA78" s="130" t="s">
        <v>13</v>
      </c>
      <c r="FB78" s="123">
        <f t="shared" ref="FB78:FB79" si="325">FB73/FB65</f>
        <v>0.961433201296363</v>
      </c>
      <c r="FC78" s="123" t="s">
        <v>164</v>
      </c>
      <c r="FD78" s="123">
        <f t="shared" ref="FD78:FD79" si="326">FC73/FC65</f>
        <v>1.0204667097786155</v>
      </c>
      <c r="FE78" s="123">
        <f>VAR(FG64:FG66)</f>
        <v>0.35860878321532086</v>
      </c>
      <c r="FF78" s="124">
        <f>STDEV(FG64:FG66)/FG68</f>
        <v>0.39258235550859771</v>
      </c>
      <c r="FG78" s="124" t="s">
        <v>449</v>
      </c>
      <c r="FH78" s="123"/>
      <c r="FI78" s="123"/>
      <c r="FJ78" s="123" t="s">
        <v>415</v>
      </c>
      <c r="FK78" s="123"/>
      <c r="FL78" s="98"/>
    </row>
    <row r="79" spans="1:168">
      <c r="A79" s="130" t="s">
        <v>12</v>
      </c>
      <c r="B79" s="123">
        <f>B74/B66</f>
        <v>0.99394626561508848</v>
      </c>
      <c r="C79" s="123" t="s">
        <v>163</v>
      </c>
      <c r="D79" s="123">
        <f>C74/C66</f>
        <v>0.99729057266831644</v>
      </c>
      <c r="E79" s="124" t="s">
        <v>255</v>
      </c>
      <c r="J79" s="124" t="s">
        <v>246</v>
      </c>
      <c r="L79" s="98"/>
      <c r="S79" s="130" t="s">
        <v>12</v>
      </c>
      <c r="T79" s="123">
        <f>T74/T66</f>
        <v>0.99269394322668292</v>
      </c>
      <c r="U79" s="123" t="s">
        <v>163</v>
      </c>
      <c r="V79" s="123">
        <f>U74/U66</f>
        <v>0.99289180887688722</v>
      </c>
      <c r="W79" s="124" t="s">
        <v>255</v>
      </c>
      <c r="AB79" s="124" t="s">
        <v>246</v>
      </c>
      <c r="AD79" s="98"/>
      <c r="AJ79" s="130" t="s">
        <v>12</v>
      </c>
      <c r="AK79" s="123">
        <f>AK74/AK66</f>
        <v>1.0014164679219428</v>
      </c>
      <c r="AL79" s="123" t="s">
        <v>163</v>
      </c>
      <c r="AM79" s="123">
        <f>AL74/AL66</f>
        <v>1.0010788442129974</v>
      </c>
      <c r="AN79" s="124" t="s">
        <v>255</v>
      </c>
      <c r="AT79" s="124" t="s">
        <v>246</v>
      </c>
      <c r="AV79" s="98"/>
      <c r="BG79" s="130" t="s">
        <v>12</v>
      </c>
      <c r="BH79" s="123">
        <f>BH74/BH66</f>
        <v>0.99229600039507693</v>
      </c>
      <c r="BI79" s="123" t="s">
        <v>163</v>
      </c>
      <c r="BJ79" s="123">
        <f>BI74/BI66</f>
        <v>0.99817702267681463</v>
      </c>
      <c r="BK79" s="124" t="s">
        <v>255</v>
      </c>
      <c r="BL79" s="123"/>
      <c r="BM79" s="123"/>
      <c r="BN79" s="123"/>
      <c r="BO79" s="123"/>
      <c r="BP79" s="123"/>
      <c r="BQ79" s="124" t="s">
        <v>246</v>
      </c>
      <c r="BR79" s="123"/>
      <c r="BS79" s="98"/>
      <c r="EC79" s="130" t="s">
        <v>14</v>
      </c>
      <c r="ED79" s="123">
        <f t="shared" si="321"/>
        <v>0.96573720592584023</v>
      </c>
      <c r="EE79" s="123" t="s">
        <v>165</v>
      </c>
      <c r="EF79" s="123">
        <f t="shared" si="322"/>
        <v>1.018467033937412</v>
      </c>
      <c r="EG79" s="123">
        <f>EG78/EI68</f>
        <v>0.11614652400053246</v>
      </c>
      <c r="EH79" s="123"/>
      <c r="EI79" s="124" t="s">
        <v>438</v>
      </c>
      <c r="EJ79" s="123"/>
      <c r="EK79" s="123"/>
      <c r="EL79" s="123" t="s">
        <v>403</v>
      </c>
      <c r="EM79" s="123">
        <v>1</v>
      </c>
      <c r="EN79" s="98" t="s">
        <v>416</v>
      </c>
      <c r="EO79" s="130" t="s">
        <v>14</v>
      </c>
      <c r="EP79" s="123">
        <f t="shared" si="323"/>
        <v>0.97434490105986871</v>
      </c>
      <c r="EQ79" s="123" t="s">
        <v>165</v>
      </c>
      <c r="ER79" s="123">
        <f t="shared" si="324"/>
        <v>1.0086762746650282</v>
      </c>
      <c r="ES79" s="123">
        <f>ES78/EU68</f>
        <v>0.11304272162730579</v>
      </c>
      <c r="ET79" s="123"/>
      <c r="EU79" s="124" t="s">
        <v>438</v>
      </c>
      <c r="EV79" s="123"/>
      <c r="EW79" s="123"/>
      <c r="EX79" s="123" t="s">
        <v>403</v>
      </c>
      <c r="EY79" s="123">
        <v>1</v>
      </c>
      <c r="EZ79" s="98" t="s">
        <v>416</v>
      </c>
      <c r="FA79" s="130" t="s">
        <v>14</v>
      </c>
      <c r="FB79" s="123">
        <f t="shared" si="325"/>
        <v>0.96145264360429827</v>
      </c>
      <c r="FC79" s="123" t="s">
        <v>165</v>
      </c>
      <c r="FD79" s="123">
        <f t="shared" si="326"/>
        <v>1.0204693303020842</v>
      </c>
      <c r="FE79" s="123">
        <f>FE78/FG68</f>
        <v>0.23509383343105081</v>
      </c>
      <c r="FF79" s="123"/>
      <c r="FG79" s="124" t="s">
        <v>438</v>
      </c>
      <c r="FH79" s="123"/>
      <c r="FI79" s="123"/>
      <c r="FJ79" s="123" t="s">
        <v>403</v>
      </c>
      <c r="FK79" s="123">
        <v>1</v>
      </c>
      <c r="FL79" s="98" t="s">
        <v>416</v>
      </c>
    </row>
    <row r="80" spans="1:168">
      <c r="A80" s="130" t="s">
        <v>13</v>
      </c>
      <c r="B80" s="123">
        <f t="shared" ref="B80:B81" si="327">B75/B67</f>
        <v>0.99417812629196123</v>
      </c>
      <c r="C80" s="123" t="s">
        <v>164</v>
      </c>
      <c r="D80" s="123">
        <f t="shared" ref="D80:D81" si="328">C75/C67</f>
        <v>0.99719826934132105</v>
      </c>
      <c r="E80" s="123">
        <f>VAR(G66:G68)</f>
        <v>2.2416838810438433E-3</v>
      </c>
      <c r="F80" s="124">
        <f>STDEV(G66:G68)/G70</f>
        <v>0.10547735716619307</v>
      </c>
      <c r="G80" s="124" t="s">
        <v>449</v>
      </c>
      <c r="L80" s="98"/>
      <c r="S80" s="130" t="s">
        <v>13</v>
      </c>
      <c r="T80" s="123">
        <f t="shared" ref="T80:T81" si="329">T75/T67</f>
        <v>0.99239913510655375</v>
      </c>
      <c r="U80" s="123" t="s">
        <v>164</v>
      </c>
      <c r="V80" s="123">
        <f t="shared" ref="V80:V81" si="330">U75/U67</f>
        <v>0.9930589701661503</v>
      </c>
      <c r="W80" s="123">
        <f>VAR(Y66:Y68)</f>
        <v>1.2588121990630974E-3</v>
      </c>
      <c r="X80" s="124">
        <f>STDEV(Y66:Y68)/Y70</f>
        <v>5.675358447700881E-2</v>
      </c>
      <c r="Y80" s="124" t="s">
        <v>449</v>
      </c>
      <c r="AD80" s="98"/>
      <c r="AJ80" s="130" t="s">
        <v>13</v>
      </c>
      <c r="AK80" s="123">
        <f t="shared" ref="AK80:AK81" si="331">AK75/AK67</f>
        <v>1.0014104683891001</v>
      </c>
      <c r="AL80" s="123" t="s">
        <v>164</v>
      </c>
      <c r="AM80" s="123">
        <f t="shared" ref="AM80:AM81" si="332">AL75/AL67</f>
        <v>1.0009254115311068</v>
      </c>
      <c r="AN80" s="123">
        <f>VAR(AP66:AP68)</f>
        <v>8.9852487008838225E-5</v>
      </c>
      <c r="AO80" s="124">
        <f>STDEV(AP66:AP68)/AP70</f>
        <v>2.0075772794805481E-2</v>
      </c>
      <c r="AP80" s="124" t="s">
        <v>449</v>
      </c>
      <c r="AV80" s="98"/>
      <c r="BG80" s="130" t="s">
        <v>13</v>
      </c>
      <c r="BH80" s="123">
        <f t="shared" ref="BH80:BH81" si="333">BH75/BH67</f>
        <v>0.99215057051092992</v>
      </c>
      <c r="BI80" s="123" t="s">
        <v>164</v>
      </c>
      <c r="BJ80" s="123">
        <f t="shared" ref="BJ80:BJ81" si="334">BI75/BI67</f>
        <v>0.99815814633597655</v>
      </c>
      <c r="BK80" s="123">
        <f>VAR(BM66:BM68)</f>
        <v>3.7215820021872272E-4</v>
      </c>
      <c r="BL80" s="124">
        <f>STDEV(BM66:BM68)/BM70</f>
        <v>3.7637369893256237E-2</v>
      </c>
      <c r="BM80" s="124" t="s">
        <v>449</v>
      </c>
      <c r="BN80" s="123"/>
      <c r="BO80" s="123"/>
      <c r="BP80" s="123"/>
      <c r="BQ80" s="123"/>
      <c r="BR80" s="123"/>
      <c r="BS80" s="98"/>
      <c r="EC80" s="130" t="s">
        <v>15</v>
      </c>
      <c r="ED80" s="123">
        <f>EG72/EG64</f>
        <v>0.96560390520532924</v>
      </c>
      <c r="EE80" s="123" t="s">
        <v>67</v>
      </c>
      <c r="EF80" s="123">
        <f>EG73/EG65</f>
        <v>1.0184666796521482</v>
      </c>
      <c r="EG80" s="124" t="s">
        <v>256</v>
      </c>
      <c r="EH80" s="123"/>
      <c r="EI80" s="123"/>
      <c r="EJ80" s="123"/>
      <c r="EK80" s="123"/>
      <c r="EL80" s="123" t="s">
        <v>401</v>
      </c>
      <c r="EM80" s="123">
        <v>500</v>
      </c>
      <c r="EN80" s="98" t="s">
        <v>417</v>
      </c>
      <c r="EO80" s="130" t="s">
        <v>15</v>
      </c>
      <c r="EP80" s="123">
        <f>ES72/ES64</f>
        <v>0.97426343627000744</v>
      </c>
      <c r="EQ80" s="123" t="s">
        <v>67</v>
      </c>
      <c r="ER80" s="123">
        <f>ES73/ES65</f>
        <v>1.0086771133659111</v>
      </c>
      <c r="ES80" s="124" t="s">
        <v>256</v>
      </c>
      <c r="ET80" s="123"/>
      <c r="EU80" s="123"/>
      <c r="EV80" s="123"/>
      <c r="EW80" s="123"/>
      <c r="EX80" s="123" t="s">
        <v>401</v>
      </c>
      <c r="EY80" s="123">
        <v>500</v>
      </c>
      <c r="EZ80" s="98" t="s">
        <v>417</v>
      </c>
      <c r="FA80" s="130" t="s">
        <v>15</v>
      </c>
      <c r="FB80" s="123">
        <f>FE72/FE64</f>
        <v>0.96142355637820287</v>
      </c>
      <c r="FC80" s="123" t="s">
        <v>67</v>
      </c>
      <c r="FD80" s="123">
        <f>FE73/FE65</f>
        <v>1.0204686526646496</v>
      </c>
      <c r="FE80" s="124" t="s">
        <v>256</v>
      </c>
      <c r="FF80" s="123"/>
      <c r="FG80" s="123"/>
      <c r="FH80" s="123"/>
      <c r="FI80" s="123"/>
      <c r="FJ80" s="123" t="s">
        <v>401</v>
      </c>
      <c r="FK80" s="123">
        <v>500</v>
      </c>
      <c r="FL80" s="98" t="s">
        <v>417</v>
      </c>
    </row>
    <row r="81" spans="1:168">
      <c r="A81" s="130" t="s">
        <v>14</v>
      </c>
      <c r="B81" s="123">
        <f t="shared" si="327"/>
        <v>0.99526276285513893</v>
      </c>
      <c r="C81" s="123" t="s">
        <v>165</v>
      </c>
      <c r="D81" s="123">
        <f t="shared" si="328"/>
        <v>0.99618500482484684</v>
      </c>
      <c r="G81" s="124" t="s">
        <v>438</v>
      </c>
      <c r="L81" s="98"/>
      <c r="S81" s="130" t="s">
        <v>14</v>
      </c>
      <c r="T81" s="123">
        <f t="shared" si="329"/>
        <v>0.99394597950946906</v>
      </c>
      <c r="U81" s="123" t="s">
        <v>165</v>
      </c>
      <c r="V81" s="123">
        <f t="shared" si="330"/>
        <v>0.99284029846265709</v>
      </c>
      <c r="Y81" s="124" t="s">
        <v>438</v>
      </c>
      <c r="AD81" s="98"/>
      <c r="AJ81" s="130" t="s">
        <v>14</v>
      </c>
      <c r="AK81" s="123">
        <f t="shared" si="331"/>
        <v>1.0015497119490733</v>
      </c>
      <c r="AL81" s="123" t="s">
        <v>165</v>
      </c>
      <c r="AM81" s="123">
        <f t="shared" si="332"/>
        <v>1.0007145879366273</v>
      </c>
      <c r="AP81" s="124" t="s">
        <v>438</v>
      </c>
      <c r="AV81" s="98"/>
      <c r="BG81" s="130" t="s">
        <v>14</v>
      </c>
      <c r="BH81" s="123">
        <f t="shared" si="333"/>
        <v>0.99220347014452503</v>
      </c>
      <c r="BI81" s="123" t="s">
        <v>165</v>
      </c>
      <c r="BJ81" s="123">
        <f t="shared" si="334"/>
        <v>0.99837292863161353</v>
      </c>
      <c r="BK81" s="123"/>
      <c r="BL81" s="123"/>
      <c r="BM81" s="124" t="s">
        <v>438</v>
      </c>
      <c r="BN81" s="123"/>
      <c r="BO81" s="123"/>
      <c r="BP81" s="123"/>
      <c r="BQ81" s="123"/>
      <c r="BR81" s="123"/>
      <c r="BS81" s="98"/>
      <c r="EC81" s="130" t="s">
        <v>170</v>
      </c>
      <c r="ED81" s="123">
        <f>VAR(ED77:ED79)</f>
        <v>1.6364806740680978E-8</v>
      </c>
      <c r="EE81" s="123" t="s">
        <v>170</v>
      </c>
      <c r="EF81" s="123">
        <f>VAR(EF77:EF79)</f>
        <v>7.0060467112862842E-12</v>
      </c>
      <c r="EG81" s="123">
        <f>VAR(EI72:EI74)</f>
        <v>6.3694371044396569E-2</v>
      </c>
      <c r="EH81" s="124">
        <f>STDEV(EI72:EI74)/EI76</f>
        <v>0.43612740791864957</v>
      </c>
      <c r="EI81" s="124" t="s">
        <v>449</v>
      </c>
      <c r="EJ81" s="123"/>
      <c r="EK81" s="123"/>
      <c r="EL81" s="123"/>
      <c r="EM81" s="123"/>
      <c r="EN81" s="98"/>
      <c r="EO81" s="130" t="s">
        <v>170</v>
      </c>
      <c r="EP81" s="123">
        <f>VAR(EP77:EP79)</f>
        <v>8.3551259755509646E-9</v>
      </c>
      <c r="EQ81" s="123" t="s">
        <v>170</v>
      </c>
      <c r="ER81" s="123">
        <f>VAR(ER77:ER79)</f>
        <v>5.6489496346154432E-13</v>
      </c>
      <c r="ES81" s="123">
        <f>VAR(EU72:EU74)</f>
        <v>0.10261904035567193</v>
      </c>
      <c r="ET81" s="124">
        <f>STDEV(EU72:EU74)/EU76</f>
        <v>0.34096267324145296</v>
      </c>
      <c r="EU81" s="124" t="s">
        <v>449</v>
      </c>
      <c r="EV81" s="123"/>
      <c r="EW81" s="123"/>
      <c r="EX81" s="123"/>
      <c r="EY81" s="123"/>
      <c r="EZ81" s="98"/>
      <c r="FA81" s="130" t="s">
        <v>170</v>
      </c>
      <c r="FB81" s="123">
        <f>VAR(FB77:FB79)</f>
        <v>6.9962223511429014E-10</v>
      </c>
      <c r="FC81" s="123" t="s">
        <v>170</v>
      </c>
      <c r="FD81" s="123">
        <f>VAR(FD77:FD79)</f>
        <v>1.7705758306697967E-12</v>
      </c>
      <c r="FE81" s="123">
        <f>VAR(FG72:FG74)</f>
        <v>0.31833713307969713</v>
      </c>
      <c r="FF81" s="124">
        <f>STDEV(FG72:FG74)/FG76</f>
        <v>0.39259444425327178</v>
      </c>
      <c r="FG81" s="124" t="s">
        <v>449</v>
      </c>
      <c r="FH81" s="123"/>
      <c r="FI81" s="123"/>
      <c r="FJ81" s="123"/>
      <c r="FK81" s="123"/>
      <c r="FL81" s="98"/>
    </row>
    <row r="82" spans="1:168">
      <c r="A82" s="130" t="s">
        <v>15</v>
      </c>
      <c r="B82" s="123">
        <f>E74/E66</f>
        <v>0.99423509634035956</v>
      </c>
      <c r="C82" s="123" t="s">
        <v>67</v>
      </c>
      <c r="D82" s="123">
        <f>E75/E67</f>
        <v>0.99712902911546974</v>
      </c>
      <c r="E82" s="124" t="s">
        <v>256</v>
      </c>
      <c r="L82" s="98"/>
      <c r="S82" s="130" t="s">
        <v>15</v>
      </c>
      <c r="T82" s="123">
        <f>W74/W66</f>
        <v>0.99278393919164931</v>
      </c>
      <c r="U82" s="123" t="s">
        <v>67</v>
      </c>
      <c r="V82" s="123">
        <f>W75/W67</f>
        <v>0.99296783838228186</v>
      </c>
      <c r="W82" s="124" t="s">
        <v>256</v>
      </c>
      <c r="AD82" s="98"/>
      <c r="AJ82" s="130" t="s">
        <v>15</v>
      </c>
      <c r="AK82" s="123">
        <f>AN74/AN66</f>
        <v>1.001426592203974</v>
      </c>
      <c r="AL82" s="123" t="s">
        <v>67</v>
      </c>
      <c r="AM82" s="123">
        <f>AN75/AN67</f>
        <v>1.000949327903361</v>
      </c>
      <c r="AN82" s="124" t="s">
        <v>256</v>
      </c>
      <c r="AV82" s="98"/>
      <c r="BG82" s="130" t="s">
        <v>15</v>
      </c>
      <c r="BH82" s="123">
        <f>BK74/BK66</f>
        <v>0.99215144745607653</v>
      </c>
      <c r="BI82" s="123" t="s">
        <v>67</v>
      </c>
      <c r="BJ82" s="123">
        <f>BK75/BK67</f>
        <v>0.99824498968321629</v>
      </c>
      <c r="BK82" s="124" t="s">
        <v>256</v>
      </c>
      <c r="BL82" s="123"/>
      <c r="BM82" s="123"/>
      <c r="BN82" s="123"/>
      <c r="BO82" s="123"/>
      <c r="BP82" s="123"/>
      <c r="BQ82" s="123"/>
      <c r="BR82" s="123"/>
      <c r="BS82" s="98"/>
      <c r="EC82" s="130"/>
      <c r="ED82" s="123"/>
      <c r="EE82" s="123"/>
      <c r="EF82" s="123"/>
      <c r="EG82" s="123">
        <f>EG81/EI76</f>
        <v>0.11006871770775449</v>
      </c>
      <c r="EH82" s="123"/>
      <c r="EI82" s="124" t="s">
        <v>438</v>
      </c>
      <c r="EJ82" s="123"/>
      <c r="EK82" s="123"/>
      <c r="EL82" s="123"/>
      <c r="EM82" s="123"/>
      <c r="EN82" s="98"/>
      <c r="EO82" s="130"/>
      <c r="EP82" s="123"/>
      <c r="EQ82" s="123"/>
      <c r="ER82" s="123"/>
      <c r="ES82" s="123">
        <f>ES81/EU76</f>
        <v>0.10922468776392553</v>
      </c>
      <c r="ET82" s="123"/>
      <c r="EU82" s="124" t="s">
        <v>438</v>
      </c>
      <c r="EV82" s="123"/>
      <c r="EW82" s="123"/>
      <c r="EX82" s="123"/>
      <c r="EY82" s="123"/>
      <c r="EZ82" s="98"/>
      <c r="FA82" s="130"/>
      <c r="FB82" s="123"/>
      <c r="FC82" s="123"/>
      <c r="FD82" s="123"/>
      <c r="FE82" s="123">
        <f>FE81/FG76</f>
        <v>0.2215071757552152</v>
      </c>
      <c r="FF82" s="123"/>
      <c r="FG82" s="124" t="s">
        <v>438</v>
      </c>
      <c r="FH82" s="123"/>
      <c r="FI82" s="123"/>
      <c r="FJ82" s="123"/>
      <c r="FK82" s="123"/>
      <c r="FL82" s="98"/>
    </row>
    <row r="83" spans="1:168">
      <c r="A83" s="130" t="s">
        <v>170</v>
      </c>
      <c r="B83" s="123">
        <f>VAR(B79:B81)</f>
        <v>4.9389347178704626E-7</v>
      </c>
      <c r="C83" s="123" t="s">
        <v>170</v>
      </c>
      <c r="D83" s="123">
        <f>VAR(D79:D81)</f>
        <v>3.7625085683902645E-7</v>
      </c>
      <c r="E83" s="123">
        <f>VAR(G74:G76)</f>
        <v>2.2851539096322981E-3</v>
      </c>
      <c r="F83" s="124">
        <f>STDEV(G74:G76)/G78</f>
        <v>0.10674588936708064</v>
      </c>
      <c r="G83" s="124" t="s">
        <v>449</v>
      </c>
      <c r="L83" s="98"/>
      <c r="S83" s="130" t="s">
        <v>170</v>
      </c>
      <c r="T83" s="123">
        <f>VAR(T79:T81)</f>
        <v>6.7453904798957159E-7</v>
      </c>
      <c r="U83" s="123" t="s">
        <v>170</v>
      </c>
      <c r="V83" s="123">
        <f>VAR(V79:V81)</f>
        <v>1.3068922218479845E-8</v>
      </c>
      <c r="W83" s="123">
        <f>VAR(Y74:Y76)</f>
        <v>1.3000114430296028E-3</v>
      </c>
      <c r="X83" s="124">
        <f>STDEV(Y74:Y76)/Y78</f>
        <v>5.7668103495328832E-2</v>
      </c>
      <c r="Y83" s="124" t="s">
        <v>449</v>
      </c>
      <c r="AD83" s="98"/>
      <c r="AJ83" s="130" t="s">
        <v>170</v>
      </c>
      <c r="AK83" s="123">
        <f>VAR(AK79:AK81)</f>
        <v>6.1964556923793978E-9</v>
      </c>
      <c r="AL83" s="123" t="s">
        <v>170</v>
      </c>
      <c r="AM83" s="123">
        <f>VAR(AM79:AM81)</f>
        <v>3.3445135122745516E-8</v>
      </c>
      <c r="AN83" s="123">
        <f>VAR(AP74:AP76)</f>
        <v>8.7695108892712765E-5</v>
      </c>
      <c r="AO83" s="124">
        <f>STDEV(AP74:AP76)/AP78</f>
        <v>1.9822419766167439E-2</v>
      </c>
      <c r="AP83" s="124" t="s">
        <v>449</v>
      </c>
      <c r="AV83" s="98"/>
      <c r="BG83" s="130" t="s">
        <v>170</v>
      </c>
      <c r="BH83" s="123">
        <f>VAR(BH79:BH81)</f>
        <v>5.4183449507842748E-9</v>
      </c>
      <c r="BI83" s="123" t="s">
        <v>170</v>
      </c>
      <c r="BJ83" s="123">
        <f>VAR(BJ79:BJ81)</f>
        <v>1.4144482314699645E-8</v>
      </c>
      <c r="BK83" s="123">
        <f>VAR(BM74:BM76)</f>
        <v>3.6510180849333109E-4</v>
      </c>
      <c r="BL83" s="124">
        <f>STDEV(BM74:BM76)/BM78</f>
        <v>3.7505126857831375E-2</v>
      </c>
      <c r="BM83" s="124" t="s">
        <v>449</v>
      </c>
      <c r="BN83" s="123"/>
      <c r="BO83" s="123"/>
      <c r="BP83" s="123"/>
      <c r="BQ83" s="123"/>
      <c r="BR83" s="123"/>
      <c r="BS83" s="98"/>
      <c r="EC83" s="130"/>
      <c r="ED83" s="123"/>
      <c r="EE83" s="123"/>
      <c r="EF83" s="123" t="s">
        <v>444</v>
      </c>
      <c r="EG83" s="123"/>
      <c r="EH83" s="123"/>
      <c r="EI83" s="123"/>
      <c r="EJ83" s="123"/>
      <c r="EK83" s="123"/>
      <c r="EL83" s="123"/>
      <c r="EM83" s="123"/>
      <c r="EN83" s="98"/>
      <c r="EO83" s="130"/>
      <c r="EP83" s="123"/>
      <c r="EQ83" s="123"/>
      <c r="ER83" s="123" t="s">
        <v>444</v>
      </c>
      <c r="ES83" s="123"/>
      <c r="ET83" s="123"/>
      <c r="EU83" s="123"/>
      <c r="EV83" s="123"/>
      <c r="EW83" s="123"/>
      <c r="EX83" s="123"/>
      <c r="EY83" s="123"/>
      <c r="EZ83" s="98"/>
      <c r="FA83" s="130"/>
      <c r="FB83" s="123"/>
      <c r="FC83" s="123"/>
      <c r="FD83" s="123" t="s">
        <v>444</v>
      </c>
      <c r="FE83" s="123"/>
      <c r="FF83" s="123"/>
      <c r="FG83" s="123"/>
      <c r="FH83" s="123"/>
      <c r="FI83" s="123"/>
      <c r="FJ83" s="123"/>
      <c r="FK83" s="123"/>
      <c r="FL83" s="98"/>
    </row>
    <row r="84" spans="1:168">
      <c r="A84" s="130"/>
      <c r="G84" s="124" t="s">
        <v>438</v>
      </c>
      <c r="L84" s="98"/>
      <c r="Y84" s="124" t="s">
        <v>438</v>
      </c>
      <c r="AD84" s="98"/>
      <c r="AP84" s="124" t="s">
        <v>438</v>
      </c>
      <c r="AV84" s="98"/>
      <c r="BG84" s="130"/>
      <c r="BH84" s="123"/>
      <c r="BI84" s="123"/>
      <c r="BJ84" s="123"/>
      <c r="BK84" s="123"/>
      <c r="BL84" s="123"/>
      <c r="BM84" s="124" t="s">
        <v>438</v>
      </c>
      <c r="BN84" s="123"/>
      <c r="BO84" s="123"/>
      <c r="BP84" s="123"/>
      <c r="BQ84" s="123"/>
      <c r="BR84" s="123"/>
      <c r="BS84" s="98"/>
      <c r="EC84" s="130"/>
      <c r="ED84" s="123">
        <f>ED77</f>
        <v>0.96573177352410644</v>
      </c>
      <c r="EE84" s="123"/>
      <c r="EF84" s="123">
        <f>ABS(EE72-ED73)/EE72</f>
        <v>4.7135656988712736E-3</v>
      </c>
      <c r="EG84" s="123" t="s">
        <v>446</v>
      </c>
      <c r="EH84" s="123"/>
      <c r="EI84" s="123"/>
      <c r="EJ84" s="123"/>
      <c r="EK84" s="123"/>
      <c r="EL84" s="123"/>
      <c r="EM84" s="123"/>
      <c r="EN84" s="98"/>
      <c r="EO84" s="130"/>
      <c r="EP84" s="123">
        <f>EP77</f>
        <v>0.97416915644678004</v>
      </c>
      <c r="EQ84" s="123"/>
      <c r="ER84" s="123">
        <f>ABS(EQ72-EP73)/EQ72</f>
        <v>1.6177724934736008E-2</v>
      </c>
      <c r="ES84" s="123" t="s">
        <v>446</v>
      </c>
      <c r="ET84" s="123"/>
      <c r="EU84" s="123"/>
      <c r="EV84" s="123"/>
      <c r="EW84" s="123"/>
      <c r="EX84" s="123"/>
      <c r="EY84" s="123"/>
      <c r="EZ84" s="98"/>
      <c r="FA84" s="130"/>
      <c r="FB84" s="123">
        <f>FB77</f>
        <v>0.96140031535934856</v>
      </c>
      <c r="FC84" s="123"/>
      <c r="FD84" s="123">
        <f>ABS(FC72-FB73)/FC72</f>
        <v>2.3250631901024346E-2</v>
      </c>
      <c r="FE84" s="123" t="s">
        <v>446</v>
      </c>
      <c r="FF84" s="123"/>
      <c r="FG84" s="123"/>
      <c r="FH84" s="123"/>
      <c r="FI84" s="123"/>
      <c r="FJ84" s="123"/>
      <c r="FK84" s="123"/>
      <c r="FL84" s="98"/>
    </row>
    <row r="85" spans="1:168">
      <c r="A85" s="130"/>
      <c r="D85" s="123" t="s">
        <v>444</v>
      </c>
      <c r="L85" s="98"/>
      <c r="V85" s="123" t="s">
        <v>444</v>
      </c>
      <c r="AD85" s="98"/>
      <c r="AM85" s="123" t="s">
        <v>444</v>
      </c>
      <c r="AV85" s="98"/>
      <c r="BG85" s="130"/>
      <c r="BH85" s="123"/>
      <c r="BI85" s="123"/>
      <c r="BJ85" s="123" t="s">
        <v>444</v>
      </c>
      <c r="BK85" s="123"/>
      <c r="BL85" s="123"/>
      <c r="BM85" s="123"/>
      <c r="BN85" s="123"/>
      <c r="BO85" s="123"/>
      <c r="BP85" s="123"/>
      <c r="BQ85" s="123"/>
      <c r="BR85" s="123"/>
      <c r="BS85" s="98"/>
      <c r="EC85" s="130"/>
      <c r="ED85" s="123">
        <f t="shared" ref="ED85:ED86" si="335">ED78</f>
        <v>0.96551296706929091</v>
      </c>
      <c r="EE85" s="123"/>
      <c r="EF85" s="123">
        <f>ABS((EE64-ED65)/EE64)</f>
        <v>4.9878899613201723E-2</v>
      </c>
      <c r="EG85" s="123" t="s">
        <v>445</v>
      </c>
      <c r="EH85" s="123"/>
      <c r="EI85" s="123"/>
      <c r="EJ85" s="123"/>
      <c r="EK85" s="123"/>
      <c r="EL85" s="123"/>
      <c r="EM85" s="123"/>
      <c r="EN85" s="98"/>
      <c r="EO85" s="130"/>
      <c r="EP85" s="123">
        <f t="shared" ref="EP85:EP86" si="336">EP78</f>
        <v>0.97430062635824011</v>
      </c>
      <c r="EQ85" s="123"/>
      <c r="ER85" s="123">
        <f>ABS((EQ64-EP65)/EQ64)</f>
        <v>1.8534161361135917E-2</v>
      </c>
      <c r="ES85" s="123" t="s">
        <v>445</v>
      </c>
      <c r="ET85" s="123"/>
      <c r="EU85" s="123"/>
      <c r="EV85" s="123"/>
      <c r="EW85" s="123"/>
      <c r="EX85" s="123"/>
      <c r="EY85" s="123"/>
      <c r="EZ85" s="98"/>
      <c r="FA85" s="130"/>
      <c r="FB85" s="123">
        <f t="shared" ref="FB85:FB86" si="337">FB78</f>
        <v>0.961433201296363</v>
      </c>
      <c r="FC85" s="123"/>
      <c r="FD85" s="123">
        <f>ABS((FC64-FB65)/FC64)</f>
        <v>3.6725052520117159E-2</v>
      </c>
      <c r="FE85" s="123" t="s">
        <v>445</v>
      </c>
      <c r="FF85" s="123"/>
      <c r="FG85" s="123"/>
      <c r="FH85" s="123"/>
      <c r="FI85" s="123"/>
      <c r="FJ85" s="123"/>
      <c r="FK85" s="123"/>
      <c r="FL85" s="98"/>
    </row>
    <row r="86" spans="1:168">
      <c r="A86" s="130"/>
      <c r="B86" s="123">
        <f>B79</f>
        <v>0.99394626561508848</v>
      </c>
      <c r="D86" s="123">
        <f>ABS(C74-B75)/C74</f>
        <v>1.3563767190074204E-2</v>
      </c>
      <c r="E86" s="123" t="s">
        <v>446</v>
      </c>
      <c r="L86" s="98"/>
      <c r="T86" s="123">
        <f>T79</f>
        <v>0.99269394322668292</v>
      </c>
      <c r="V86" s="123">
        <f>ABS(U74-T75)/U74</f>
        <v>1.7692084824808232E-2</v>
      </c>
      <c r="W86" s="123" t="s">
        <v>446</v>
      </c>
      <c r="AD86" s="98"/>
      <c r="AK86" s="123">
        <f>AK79</f>
        <v>1.0014164679219428</v>
      </c>
      <c r="AM86" s="123">
        <f>ABS(AL74-AK75)/AL74</f>
        <v>2.9802161683838858E-3</v>
      </c>
      <c r="AN86" s="123" t="s">
        <v>446</v>
      </c>
      <c r="AV86" s="98"/>
      <c r="BG86" s="130"/>
      <c r="BH86" s="123">
        <f>BH79</f>
        <v>0.99229600039507693</v>
      </c>
      <c r="BI86" s="123"/>
      <c r="BJ86" s="123">
        <f>ABS(BI74-BH75)/BI74</f>
        <v>1.0827003980377226E-2</v>
      </c>
      <c r="BK86" s="123" t="s">
        <v>446</v>
      </c>
      <c r="BL86" s="123"/>
      <c r="BM86" s="123"/>
      <c r="BN86" s="123"/>
      <c r="BO86" s="123"/>
      <c r="BP86" s="123"/>
      <c r="BQ86" s="123"/>
      <c r="BR86" s="123"/>
      <c r="BS86" s="98"/>
      <c r="EC86" s="130"/>
      <c r="ED86" s="123">
        <f t="shared" si="335"/>
        <v>0.96573720592584023</v>
      </c>
      <c r="EE86" s="123"/>
      <c r="EF86" s="123"/>
      <c r="EG86" s="123"/>
      <c r="EH86" s="123"/>
      <c r="EI86" s="123"/>
      <c r="EJ86" s="123"/>
      <c r="EK86" s="123"/>
      <c r="EL86" s="123"/>
      <c r="EM86" s="123"/>
      <c r="EN86" s="98"/>
      <c r="EO86" s="130"/>
      <c r="EP86" s="123">
        <f t="shared" si="336"/>
        <v>0.97434490105986871</v>
      </c>
      <c r="EQ86" s="123"/>
      <c r="ER86" s="123"/>
      <c r="ES86" s="123"/>
      <c r="ET86" s="123"/>
      <c r="EU86" s="123"/>
      <c r="EV86" s="123"/>
      <c r="EW86" s="123"/>
      <c r="EX86" s="123"/>
      <c r="EY86" s="123"/>
      <c r="EZ86" s="98"/>
      <c r="FA86" s="130"/>
      <c r="FB86" s="123">
        <f t="shared" si="337"/>
        <v>0.96145264360429827</v>
      </c>
      <c r="FC86" s="123"/>
      <c r="FD86" s="123"/>
      <c r="FE86" s="123"/>
      <c r="FF86" s="123"/>
      <c r="FG86" s="123"/>
      <c r="FH86" s="123"/>
      <c r="FI86" s="123"/>
      <c r="FJ86" s="123"/>
      <c r="FK86" s="123"/>
      <c r="FL86" s="98"/>
    </row>
    <row r="87" spans="1:168">
      <c r="A87" s="130"/>
      <c r="B87" s="123">
        <f t="shared" ref="B87:B88" si="338">B80</f>
        <v>0.99417812629196123</v>
      </c>
      <c r="D87" s="123">
        <f>ABS((C66-B67)/C66)</f>
        <v>1.0475558148736757E-2</v>
      </c>
      <c r="E87" s="123" t="s">
        <v>445</v>
      </c>
      <c r="L87" s="98"/>
      <c r="T87" s="123">
        <f t="shared" ref="T87:T88" si="339">T80</f>
        <v>0.99239913510655375</v>
      </c>
      <c r="V87" s="123">
        <f>ABS((U66-T67)/U66)</f>
        <v>1.7204420812338361E-2</v>
      </c>
      <c r="W87" s="123" t="s">
        <v>445</v>
      </c>
      <c r="AD87" s="98"/>
      <c r="AK87" s="123">
        <f t="shared" ref="AK87:AK88" si="340">AK80</f>
        <v>1.0014104683891001</v>
      </c>
      <c r="AM87" s="123">
        <f>ABS((AL66-AK67)/AL66)</f>
        <v>2.6480721591753617E-3</v>
      </c>
      <c r="AN87" s="123" t="s">
        <v>445</v>
      </c>
      <c r="AV87" s="98"/>
      <c r="BG87" s="130"/>
      <c r="BH87" s="123">
        <f t="shared" ref="BH87:BH88" si="341">BH80</f>
        <v>0.99215057051092992</v>
      </c>
      <c r="BI87" s="123"/>
      <c r="BJ87" s="123">
        <f>ABS((BI66-BH67)/BI66)</f>
        <v>4.8186379909012037E-3</v>
      </c>
      <c r="BK87" s="123" t="s">
        <v>445</v>
      </c>
      <c r="BL87" s="123"/>
      <c r="BM87" s="123"/>
      <c r="BN87" s="123"/>
      <c r="BO87" s="123"/>
      <c r="BP87" s="123"/>
      <c r="BQ87" s="123"/>
      <c r="BR87" s="123"/>
      <c r="BS87" s="98"/>
      <c r="EC87" s="130"/>
      <c r="ED87" s="123">
        <f>EF77</f>
        <v>1.0184723276578824</v>
      </c>
      <c r="EE87" s="123"/>
      <c r="EF87" s="123"/>
      <c r="EG87" s="123"/>
      <c r="EH87" s="123"/>
      <c r="EI87" s="123"/>
      <c r="EJ87" s="123"/>
      <c r="EK87" s="123"/>
      <c r="EL87" s="123"/>
      <c r="EM87" s="123"/>
      <c r="EN87" s="98"/>
      <c r="EO87" s="130"/>
      <c r="EP87" s="123">
        <f>ER77</f>
        <v>1.0086765633717627</v>
      </c>
      <c r="EQ87" s="123"/>
      <c r="ER87" s="123"/>
      <c r="ES87" s="123"/>
      <c r="ET87" s="123"/>
      <c r="EU87" s="123"/>
      <c r="EV87" s="123"/>
      <c r="EW87" s="123"/>
      <c r="EX87" s="123"/>
      <c r="EY87" s="123"/>
      <c r="EZ87" s="98"/>
      <c r="FA87" s="130"/>
      <c r="FB87" s="123">
        <f>FD77</f>
        <v>1.0204684217492677</v>
      </c>
      <c r="FC87" s="123"/>
      <c r="FD87" s="123"/>
      <c r="FE87" s="123"/>
      <c r="FF87" s="123"/>
      <c r="FG87" s="123"/>
      <c r="FH87" s="123"/>
      <c r="FI87" s="123"/>
      <c r="FJ87" s="123"/>
      <c r="FK87" s="123"/>
      <c r="FL87" s="98"/>
    </row>
    <row r="88" spans="1:168">
      <c r="A88" s="130"/>
      <c r="B88" s="123">
        <f t="shared" si="338"/>
        <v>0.99526276285513893</v>
      </c>
      <c r="L88" s="98"/>
      <c r="T88" s="123">
        <f t="shared" si="339"/>
        <v>0.99394597950946906</v>
      </c>
      <c r="AD88" s="98"/>
      <c r="AK88" s="123">
        <f t="shared" si="340"/>
        <v>1.0015497119490733</v>
      </c>
      <c r="AV88" s="98"/>
      <c r="BG88" s="130"/>
      <c r="BH88" s="123">
        <f t="shared" si="341"/>
        <v>0.99220347014452503</v>
      </c>
      <c r="BI88" s="123"/>
      <c r="BJ88" s="123"/>
      <c r="BK88" s="123"/>
      <c r="BL88" s="123"/>
      <c r="BM88" s="123"/>
      <c r="BN88" s="123"/>
      <c r="BO88" s="123"/>
      <c r="BP88" s="123"/>
      <c r="BQ88" s="123"/>
      <c r="BR88" s="123"/>
      <c r="BS88" s="98"/>
      <c r="EC88" s="130"/>
      <c r="ED88" s="123">
        <f t="shared" ref="ED88:ED89" si="342">EF78</f>
        <v>1.0184697038805333</v>
      </c>
      <c r="EE88" s="123"/>
      <c r="EF88" s="123"/>
      <c r="EG88" s="123"/>
      <c r="EH88" s="123"/>
      <c r="EI88" s="123"/>
      <c r="EJ88" s="123"/>
      <c r="EK88" s="123"/>
      <c r="EL88" s="123"/>
      <c r="EM88" s="123"/>
      <c r="EN88" s="98"/>
      <c r="EO88" s="130"/>
      <c r="EP88" s="123">
        <f t="shared" ref="EP88:EP89" si="343">ER78</f>
        <v>1.008677696582956</v>
      </c>
      <c r="EQ88" s="123"/>
      <c r="ER88" s="123"/>
      <c r="ES88" s="123"/>
      <c r="ET88" s="123"/>
      <c r="EU88" s="123"/>
      <c r="EV88" s="123"/>
      <c r="EW88" s="123"/>
      <c r="EX88" s="123"/>
      <c r="EY88" s="123"/>
      <c r="EZ88" s="98"/>
      <c r="FA88" s="130"/>
      <c r="FB88" s="123">
        <f t="shared" ref="FB88:FB89" si="344">FD78</f>
        <v>1.0204667097786155</v>
      </c>
      <c r="FC88" s="123"/>
      <c r="FD88" s="123"/>
      <c r="FE88" s="123"/>
      <c r="FF88" s="123"/>
      <c r="FG88" s="123"/>
      <c r="FH88" s="123"/>
      <c r="FI88" s="123"/>
      <c r="FJ88" s="123"/>
      <c r="FK88" s="123"/>
      <c r="FL88" s="98"/>
    </row>
    <row r="89" spans="1:168">
      <c r="A89" s="130"/>
      <c r="B89" s="123">
        <f>D79</f>
        <v>0.99729057266831644</v>
      </c>
      <c r="L89" s="98"/>
      <c r="T89" s="123">
        <f>V79</f>
        <v>0.99289180887688722</v>
      </c>
      <c r="AD89" s="98"/>
      <c r="AK89" s="123">
        <f>AM79</f>
        <v>1.0010788442129974</v>
      </c>
      <c r="AV89" s="98"/>
      <c r="BG89" s="130"/>
      <c r="BH89" s="123">
        <f>BJ79</f>
        <v>0.99817702267681463</v>
      </c>
      <c r="BI89" s="123"/>
      <c r="BJ89" s="123"/>
      <c r="BK89" s="123"/>
      <c r="BL89" s="123"/>
      <c r="BM89" s="123"/>
      <c r="BN89" s="123"/>
      <c r="BO89" s="123"/>
      <c r="BP89" s="123"/>
      <c r="BQ89" s="123"/>
      <c r="BR89" s="123"/>
      <c r="BS89" s="98"/>
      <c r="EC89" s="130"/>
      <c r="ED89" s="123">
        <f t="shared" si="342"/>
        <v>1.018467033937412</v>
      </c>
      <c r="EE89" s="123"/>
      <c r="EF89" s="123"/>
      <c r="EG89" s="123"/>
      <c r="EH89" s="123"/>
      <c r="EI89" s="123"/>
      <c r="EJ89" s="123"/>
      <c r="EK89" s="123"/>
      <c r="EL89" s="123"/>
      <c r="EM89" s="123"/>
      <c r="EN89" s="98"/>
      <c r="EO89" s="130"/>
      <c r="EP89" s="123">
        <f t="shared" si="343"/>
        <v>1.0086762746650282</v>
      </c>
      <c r="EQ89" s="123"/>
      <c r="ER89" s="123"/>
      <c r="ES89" s="123"/>
      <c r="ET89" s="123"/>
      <c r="EU89" s="123"/>
      <c r="EV89" s="123"/>
      <c r="EW89" s="123"/>
      <c r="EX89" s="123"/>
      <c r="EY89" s="123"/>
      <c r="EZ89" s="98"/>
      <c r="FA89" s="130"/>
      <c r="FB89" s="123">
        <f t="shared" si="344"/>
        <v>1.0204693303020842</v>
      </c>
      <c r="FC89" s="123"/>
      <c r="FD89" s="123"/>
      <c r="FE89" s="123"/>
      <c r="FF89" s="123"/>
      <c r="FG89" s="123"/>
      <c r="FH89" s="123"/>
      <c r="FI89" s="123"/>
      <c r="FJ89" s="123"/>
      <c r="FK89" s="123"/>
      <c r="FL89" s="98"/>
    </row>
    <row r="90" spans="1:168" ht="15.75" thickBot="1">
      <c r="A90" s="130"/>
      <c r="B90" s="123">
        <f t="shared" ref="B90:B91" si="345">D80</f>
        <v>0.99719826934132105</v>
      </c>
      <c r="L90" s="98"/>
      <c r="T90" s="123">
        <f t="shared" ref="T90:T91" si="346">V80</f>
        <v>0.9930589701661503</v>
      </c>
      <c r="AD90" s="98"/>
      <c r="AK90" s="123">
        <f t="shared" ref="AK90:AK91" si="347">AM80</f>
        <v>1.0009254115311068</v>
      </c>
      <c r="AV90" s="98"/>
      <c r="BG90" s="130"/>
      <c r="BH90" s="123">
        <f t="shared" ref="BH90:BH91" si="348">BJ80</f>
        <v>0.99815814633597655</v>
      </c>
      <c r="BI90" s="123"/>
      <c r="BJ90" s="123"/>
      <c r="BK90" s="123"/>
      <c r="BL90" s="123"/>
      <c r="BM90" s="123"/>
      <c r="BN90" s="123"/>
      <c r="BO90" s="123"/>
      <c r="BP90" s="123"/>
      <c r="BQ90" s="123"/>
      <c r="BR90" s="123"/>
      <c r="BS90" s="98"/>
      <c r="EC90" s="131" t="s">
        <v>170</v>
      </c>
      <c r="ED90" s="126">
        <f>VAR(ED84:ED89)</f>
        <v>8.3664494942130014E-4</v>
      </c>
      <c r="EE90" s="126"/>
      <c r="EF90" s="126"/>
      <c r="EG90" s="126"/>
      <c r="EH90" s="126"/>
      <c r="EI90" s="126"/>
      <c r="EJ90" s="126"/>
      <c r="EK90" s="126"/>
      <c r="EL90" s="126"/>
      <c r="EM90" s="126"/>
      <c r="EN90" s="127"/>
      <c r="EO90" s="131" t="s">
        <v>170</v>
      </c>
      <c r="EP90" s="126">
        <f>VAR(EP84:EP89)</f>
        <v>3.5512040384465271E-4</v>
      </c>
      <c r="EQ90" s="126"/>
      <c r="ER90" s="126"/>
      <c r="ES90" s="126"/>
      <c r="ET90" s="126"/>
      <c r="EU90" s="126"/>
      <c r="EV90" s="126"/>
      <c r="EW90" s="126"/>
      <c r="EX90" s="126"/>
      <c r="EY90" s="126"/>
      <c r="EZ90" s="127"/>
      <c r="FA90" s="131" t="s">
        <v>170</v>
      </c>
      <c r="FB90" s="126">
        <f>VAR(FB84:FB89)</f>
        <v>1.0456967055915811E-3</v>
      </c>
      <c r="FC90" s="126"/>
      <c r="FD90" s="126"/>
      <c r="FE90" s="126"/>
      <c r="FF90" s="126"/>
      <c r="FG90" s="126"/>
      <c r="FH90" s="126"/>
      <c r="FI90" s="126"/>
      <c r="FJ90" s="126"/>
      <c r="FK90" s="126"/>
      <c r="FL90" s="127"/>
    </row>
    <row r="91" spans="1:168" ht="15.75" thickTop="1">
      <c r="A91" s="130"/>
      <c r="B91" s="123">
        <f t="shared" si="345"/>
        <v>0.99618500482484684</v>
      </c>
      <c r="L91" s="98"/>
      <c r="T91" s="123">
        <f t="shared" si="346"/>
        <v>0.99284029846265709</v>
      </c>
      <c r="AD91" s="98"/>
      <c r="AK91" s="123">
        <f t="shared" si="347"/>
        <v>1.0007145879366273</v>
      </c>
      <c r="AV91" s="98"/>
      <c r="BG91" s="130"/>
      <c r="BH91" s="123">
        <f t="shared" si="348"/>
        <v>0.99837292863161353</v>
      </c>
      <c r="BI91" s="123"/>
      <c r="BJ91" s="123"/>
      <c r="BK91" s="123"/>
      <c r="BL91" s="123"/>
      <c r="BM91" s="123"/>
      <c r="BN91" s="123"/>
      <c r="BO91" s="123"/>
      <c r="BP91" s="123"/>
      <c r="BQ91" s="123"/>
      <c r="BR91" s="123"/>
      <c r="BS91" s="98"/>
      <c r="EC91" s="128"/>
      <c r="ED91" s="121"/>
      <c r="EE91" s="121"/>
      <c r="EF91" s="121"/>
      <c r="EG91" s="121"/>
      <c r="EH91" s="133" t="s">
        <v>239</v>
      </c>
      <c r="EI91" s="121"/>
      <c r="EJ91" s="121"/>
      <c r="EK91" s="129" t="s">
        <v>430</v>
      </c>
      <c r="EL91" s="121"/>
      <c r="EM91" s="121"/>
      <c r="EN91" s="122"/>
      <c r="EO91" s="128"/>
      <c r="EP91" s="121"/>
      <c r="EQ91" s="121"/>
      <c r="ER91" s="121"/>
      <c r="ES91" s="121"/>
      <c r="ET91" s="133" t="s">
        <v>239</v>
      </c>
      <c r="EU91" s="121"/>
      <c r="EV91" s="121"/>
      <c r="EW91" s="129" t="s">
        <v>429</v>
      </c>
      <c r="EX91" s="121"/>
      <c r="EY91" s="121"/>
      <c r="EZ91" s="122"/>
      <c r="FA91" s="128"/>
      <c r="FB91" s="121"/>
      <c r="FC91" s="121"/>
      <c r="FD91" s="121"/>
      <c r="FE91" s="121"/>
      <c r="FF91" s="133" t="s">
        <v>239</v>
      </c>
      <c r="FG91" s="121"/>
      <c r="FH91" s="121"/>
      <c r="FI91" s="129" t="s">
        <v>460</v>
      </c>
      <c r="FJ91" s="121"/>
      <c r="FK91" s="121"/>
      <c r="FL91" s="122"/>
    </row>
    <row r="92" spans="1:168" ht="15.75" thickBot="1">
      <c r="A92" s="131" t="s">
        <v>170</v>
      </c>
      <c r="B92" s="126">
        <f>VAR(B86:B91)</f>
        <v>2.1179204433323336E-6</v>
      </c>
      <c r="C92" s="126"/>
      <c r="D92" s="126"/>
      <c r="E92" s="126"/>
      <c r="F92" s="126"/>
      <c r="G92" s="126"/>
      <c r="H92" s="126"/>
      <c r="I92" s="126"/>
      <c r="J92" s="126"/>
      <c r="K92" s="126"/>
      <c r="L92" s="127"/>
      <c r="S92" s="131" t="s">
        <v>170</v>
      </c>
      <c r="T92" s="126">
        <f>VAR(T86:T91)</f>
        <v>2.7709299633469222E-7</v>
      </c>
      <c r="U92" s="126"/>
      <c r="V92" s="126"/>
      <c r="W92" s="126"/>
      <c r="X92" s="126"/>
      <c r="Y92" s="126"/>
      <c r="Z92" s="126"/>
      <c r="AA92" s="126"/>
      <c r="AB92" s="126"/>
      <c r="AC92" s="126"/>
      <c r="AD92" s="127"/>
      <c r="AJ92" s="131" t="s">
        <v>170</v>
      </c>
      <c r="AK92" s="126">
        <f>VAR(AK86:AK91)</f>
        <v>1.0746717044034513E-7</v>
      </c>
      <c r="AL92" s="126"/>
      <c r="AM92" s="126"/>
      <c r="AN92" s="126"/>
      <c r="AO92" s="126"/>
      <c r="AP92" s="126"/>
      <c r="AQ92" s="126"/>
      <c r="AR92" s="126"/>
      <c r="AS92" s="126"/>
      <c r="AT92" s="126"/>
      <c r="AU92" s="126"/>
      <c r="AV92" s="127"/>
      <c r="BG92" s="131" t="s">
        <v>170</v>
      </c>
      <c r="BH92" s="126">
        <f>VAR(BH86:BH91)</f>
        <v>1.0877605395823324E-5</v>
      </c>
      <c r="BI92" s="126"/>
      <c r="BJ92" s="126"/>
      <c r="BK92" s="126"/>
      <c r="BL92" s="126"/>
      <c r="BM92" s="126"/>
      <c r="BN92" s="126"/>
      <c r="BO92" s="126"/>
      <c r="BP92" s="126"/>
      <c r="BQ92" s="126"/>
      <c r="BR92" s="126"/>
      <c r="BS92" s="127"/>
      <c r="EC92" s="130" t="s">
        <v>167</v>
      </c>
      <c r="ED92" s="123"/>
      <c r="EE92" s="123"/>
      <c r="EF92" s="123"/>
      <c r="EG92" s="123"/>
      <c r="EH92" s="123"/>
      <c r="EI92" s="123"/>
      <c r="EJ92" s="123" t="s">
        <v>168</v>
      </c>
      <c r="EK92" s="123"/>
      <c r="EL92" s="123"/>
      <c r="EM92" s="123"/>
      <c r="EN92" s="98"/>
      <c r="EO92" s="130" t="s">
        <v>167</v>
      </c>
      <c r="EP92" s="123"/>
      <c r="EQ92" s="123"/>
      <c r="ER92" s="123"/>
      <c r="ES92" s="123"/>
      <c r="ET92" s="123"/>
      <c r="EU92" s="123"/>
      <c r="EV92" s="123" t="s">
        <v>168</v>
      </c>
      <c r="EW92" s="123"/>
      <c r="EX92" s="123"/>
      <c r="EY92" s="123"/>
      <c r="EZ92" s="98"/>
      <c r="FA92" s="130" t="s">
        <v>167</v>
      </c>
      <c r="FB92" s="123"/>
      <c r="FC92" s="123"/>
      <c r="FD92" s="123"/>
      <c r="FE92" s="123"/>
      <c r="FF92" s="123"/>
      <c r="FG92" s="123"/>
      <c r="FH92" s="123" t="s">
        <v>168</v>
      </c>
      <c r="FI92" s="123"/>
      <c r="FJ92" s="123"/>
      <c r="FK92" s="123"/>
      <c r="FL92" s="98"/>
    </row>
    <row r="93" spans="1:168" ht="15.75" thickTop="1">
      <c r="A93" s="128"/>
      <c r="B93" s="121"/>
      <c r="C93" s="121"/>
      <c r="D93" s="121"/>
      <c r="E93" s="121"/>
      <c r="F93" s="133" t="s">
        <v>239</v>
      </c>
      <c r="G93" s="121"/>
      <c r="H93" s="121"/>
      <c r="I93" s="124" t="s">
        <v>178</v>
      </c>
      <c r="J93" s="121"/>
      <c r="K93" s="121"/>
      <c r="L93" s="122"/>
      <c r="S93" s="128"/>
      <c r="T93" s="121"/>
      <c r="U93" s="121"/>
      <c r="V93" s="121"/>
      <c r="W93" s="121"/>
      <c r="X93" s="133" t="s">
        <v>239</v>
      </c>
      <c r="Y93" s="121"/>
      <c r="Z93" s="121"/>
      <c r="AA93" s="124" t="s">
        <v>201</v>
      </c>
      <c r="AB93" s="121"/>
      <c r="AC93" s="121"/>
      <c r="AD93" s="122"/>
      <c r="AJ93" s="128"/>
      <c r="AK93" s="121"/>
      <c r="AL93" s="121"/>
      <c r="AM93" s="121"/>
      <c r="AN93" s="121"/>
      <c r="AO93" s="133" t="s">
        <v>239</v>
      </c>
      <c r="AP93" s="121"/>
      <c r="AQ93" s="121"/>
      <c r="AR93" s="124" t="s">
        <v>206</v>
      </c>
      <c r="AS93" s="121"/>
      <c r="AT93" s="121"/>
      <c r="AU93" s="121"/>
      <c r="AV93" s="122"/>
      <c r="BG93" s="128"/>
      <c r="BH93" s="121"/>
      <c r="BI93" s="121"/>
      <c r="BJ93" s="121"/>
      <c r="BK93" s="121"/>
      <c r="BL93" s="133" t="s">
        <v>239</v>
      </c>
      <c r="BM93" s="121"/>
      <c r="BN93" s="121"/>
      <c r="BO93" s="124" t="s">
        <v>190</v>
      </c>
      <c r="BP93" s="121"/>
      <c r="BQ93" s="121"/>
      <c r="BR93" s="121"/>
      <c r="BS93" s="122"/>
      <c r="EC93" s="1"/>
      <c r="ED93" s="2" t="s">
        <v>0</v>
      </c>
      <c r="EE93" s="2" t="s">
        <v>1</v>
      </c>
      <c r="EF93" s="2" t="s">
        <v>2</v>
      </c>
      <c r="EG93" s="3" t="s">
        <v>6</v>
      </c>
      <c r="EH93" s="103" t="s">
        <v>70</v>
      </c>
      <c r="EI93" s="103" t="s">
        <v>172</v>
      </c>
      <c r="EJ93" s="123" t="s">
        <v>3</v>
      </c>
      <c r="EK93" s="123">
        <v>150</v>
      </c>
      <c r="EL93" s="123"/>
      <c r="EM93" s="123" t="s">
        <v>19</v>
      </c>
      <c r="EN93" s="123">
        <v>9.9907499999999996E-2</v>
      </c>
      <c r="EO93" s="1"/>
      <c r="EP93" s="2" t="s">
        <v>0</v>
      </c>
      <c r="EQ93" s="2" t="s">
        <v>1</v>
      </c>
      <c r="ER93" s="2" t="s">
        <v>2</v>
      </c>
      <c r="ES93" s="3" t="s">
        <v>6</v>
      </c>
      <c r="ET93" s="103" t="s">
        <v>70</v>
      </c>
      <c r="EU93" s="103" t="s">
        <v>172</v>
      </c>
      <c r="EV93" s="123" t="s">
        <v>3</v>
      </c>
      <c r="EW93" s="123">
        <v>250</v>
      </c>
      <c r="EX93" s="123"/>
      <c r="EY93" s="123" t="s">
        <v>19</v>
      </c>
      <c r="EZ93" s="123">
        <v>2.05149E-3</v>
      </c>
      <c r="FA93" s="1"/>
      <c r="FB93" s="2" t="s">
        <v>0</v>
      </c>
      <c r="FC93" s="2" t="s">
        <v>1</v>
      </c>
      <c r="FD93" s="2" t="s">
        <v>2</v>
      </c>
      <c r="FE93" s="3" t="s">
        <v>6</v>
      </c>
      <c r="FF93" s="103" t="s">
        <v>70</v>
      </c>
      <c r="FG93" s="103" t="s">
        <v>172</v>
      </c>
      <c r="FH93" s="123" t="s">
        <v>3</v>
      </c>
      <c r="FI93" s="123">
        <v>1000</v>
      </c>
      <c r="FJ93" s="123"/>
      <c r="FK93" s="123" t="s">
        <v>19</v>
      </c>
      <c r="FL93" s="123">
        <v>9.80515E-2</v>
      </c>
    </row>
    <row r="94" spans="1:168" ht="15.75" thickBot="1">
      <c r="A94" s="130" t="s">
        <v>167</v>
      </c>
      <c r="H94" s="123" t="s">
        <v>168</v>
      </c>
      <c r="L94" s="98"/>
      <c r="S94" s="130" t="s">
        <v>167</v>
      </c>
      <c r="Z94" s="123" t="s">
        <v>168</v>
      </c>
      <c r="AD94" s="98"/>
      <c r="AJ94" s="130" t="s">
        <v>167</v>
      </c>
      <c r="AQ94" s="123" t="s">
        <v>168</v>
      </c>
      <c r="AV94" s="98"/>
      <c r="BG94" s="130" t="s">
        <v>167</v>
      </c>
      <c r="BH94" s="123"/>
      <c r="BI94" s="123"/>
      <c r="BJ94" s="123"/>
      <c r="BK94" s="123"/>
      <c r="BL94" s="123"/>
      <c r="BM94" s="123"/>
      <c r="BN94" s="123" t="s">
        <v>168</v>
      </c>
      <c r="BO94" s="123"/>
      <c r="BP94" s="123"/>
      <c r="BQ94" s="123"/>
      <c r="BR94" s="123"/>
      <c r="BS94" s="98"/>
      <c r="EC94" s="4" t="s">
        <v>3</v>
      </c>
      <c r="ED94" s="100">
        <v>157677</v>
      </c>
      <c r="EE94" s="5">
        <v>82872.7</v>
      </c>
      <c r="EF94" s="5">
        <v>27898.1</v>
      </c>
      <c r="EG94" s="104">
        <f>SUM(ED94:EF94)</f>
        <v>268447.8</v>
      </c>
      <c r="EH94" s="123">
        <f>EF94/EE94</f>
        <v>0.3366380002099606</v>
      </c>
      <c r="EI94" s="123">
        <f>ED94/EE94</f>
        <v>1.902641038604993</v>
      </c>
      <c r="EJ94" s="123" t="s">
        <v>4</v>
      </c>
      <c r="EK94" s="123">
        <v>200</v>
      </c>
      <c r="EL94" s="123"/>
      <c r="EM94" s="123"/>
      <c r="EN94" s="98"/>
      <c r="EO94" s="4" t="s">
        <v>3</v>
      </c>
      <c r="EP94" s="100">
        <f>9.26692*10^8</f>
        <v>926692000.00000012</v>
      </c>
      <c r="EQ94" s="5">
        <f>8.0899*10^6</f>
        <v>8089900</v>
      </c>
      <c r="ER94" s="5">
        <f>1.92763*10^6</f>
        <v>1927630</v>
      </c>
      <c r="ES94" s="104">
        <f>SUM(EP94:ER94)</f>
        <v>936709530.00000012</v>
      </c>
      <c r="ET94" s="123">
        <f>ER94/EQ94</f>
        <v>0.23827612207814683</v>
      </c>
      <c r="EU94" s="123">
        <f>EP94/EQ94</f>
        <v>114.54925277197495</v>
      </c>
      <c r="EV94" s="123" t="s">
        <v>4</v>
      </c>
      <c r="EW94" s="123">
        <v>300</v>
      </c>
      <c r="EX94" s="123"/>
      <c r="EY94" s="123"/>
      <c r="EZ94" s="98"/>
      <c r="FA94" s="4" t="s">
        <v>3</v>
      </c>
      <c r="FB94" s="100">
        <f>2.38374*10^6</f>
        <v>2383740</v>
      </c>
      <c r="FC94" s="5">
        <v>912466</v>
      </c>
      <c r="FD94" s="5">
        <v>370836</v>
      </c>
      <c r="FE94" s="104">
        <f>SUM(FB94:FD94)</f>
        <v>3667042</v>
      </c>
      <c r="FF94" s="123">
        <f>FD94/FC94</f>
        <v>0.40641075941459737</v>
      </c>
      <c r="FG94" s="123">
        <f>FB94/FC94</f>
        <v>2.6124151475233051</v>
      </c>
      <c r="FH94" s="123" t="s">
        <v>4</v>
      </c>
      <c r="FI94" s="123">
        <v>1600</v>
      </c>
      <c r="FJ94" s="123"/>
      <c r="FK94" s="123"/>
      <c r="FL94" s="98"/>
    </row>
    <row r="95" spans="1:168" ht="15.75" thickTop="1">
      <c r="A95" s="1"/>
      <c r="B95" s="2" t="s">
        <v>0</v>
      </c>
      <c r="C95" s="2" t="s">
        <v>1</v>
      </c>
      <c r="D95" s="2" t="s">
        <v>2</v>
      </c>
      <c r="E95" s="3" t="s">
        <v>6</v>
      </c>
      <c r="F95" s="103" t="s">
        <v>70</v>
      </c>
      <c r="G95" s="103" t="s">
        <v>172</v>
      </c>
      <c r="H95" s="123" t="s">
        <v>3</v>
      </c>
      <c r="I95" s="123">
        <v>6</v>
      </c>
      <c r="K95" s="123" t="s">
        <v>19</v>
      </c>
      <c r="L95" s="98">
        <v>0.107261</v>
      </c>
      <c r="S95" s="1"/>
      <c r="T95" s="2" t="s">
        <v>0</v>
      </c>
      <c r="U95" s="2" t="s">
        <v>1</v>
      </c>
      <c r="V95" s="2" t="s">
        <v>2</v>
      </c>
      <c r="W95" s="3" t="s">
        <v>6</v>
      </c>
      <c r="X95" s="103" t="s">
        <v>70</v>
      </c>
      <c r="Y95" s="103" t="s">
        <v>172</v>
      </c>
      <c r="Z95" s="123" t="s">
        <v>3</v>
      </c>
      <c r="AA95" s="123">
        <v>12</v>
      </c>
      <c r="AC95" s="123" t="s">
        <v>19</v>
      </c>
      <c r="AD95" s="98">
        <v>0.231132</v>
      </c>
      <c r="AJ95" s="1"/>
      <c r="AK95" s="2" t="s">
        <v>0</v>
      </c>
      <c r="AL95" s="2" t="s">
        <v>1</v>
      </c>
      <c r="AM95" s="2" t="s">
        <v>2</v>
      </c>
      <c r="AN95" s="3" t="s">
        <v>6</v>
      </c>
      <c r="AO95" s="103" t="s">
        <v>70</v>
      </c>
      <c r="AP95" s="103" t="s">
        <v>172</v>
      </c>
      <c r="AQ95" s="123" t="s">
        <v>3</v>
      </c>
      <c r="AR95" s="123">
        <v>20</v>
      </c>
      <c r="AT95" s="123" t="s">
        <v>19</v>
      </c>
      <c r="AU95" s="123">
        <v>0.11360000000000001</v>
      </c>
      <c r="AV95" s="98"/>
      <c r="BG95" s="1"/>
      <c r="BH95" s="2" t="s">
        <v>0</v>
      </c>
      <c r="BI95" s="2" t="s">
        <v>1</v>
      </c>
      <c r="BJ95" s="2" t="s">
        <v>2</v>
      </c>
      <c r="BK95" s="3" t="s">
        <v>6</v>
      </c>
      <c r="BL95" s="103" t="s">
        <v>70</v>
      </c>
      <c r="BM95" s="103" t="s">
        <v>172</v>
      </c>
      <c r="BN95" s="123" t="s">
        <v>3</v>
      </c>
      <c r="BO95" s="123">
        <v>30</v>
      </c>
      <c r="BP95" s="123"/>
      <c r="BQ95" s="123" t="s">
        <v>19</v>
      </c>
      <c r="BR95" s="123">
        <v>0.47154000000000001</v>
      </c>
      <c r="BS95" s="98"/>
      <c r="EC95" s="4" t="s">
        <v>4</v>
      </c>
      <c r="ED95" s="5">
        <v>84509.8</v>
      </c>
      <c r="EE95" s="5">
        <v>19713.400000000001</v>
      </c>
      <c r="EF95" s="5">
        <v>6636.29</v>
      </c>
      <c r="EG95" s="106">
        <f t="shared" ref="EG95:EG97" si="349">SUM(ED95:EF95)</f>
        <v>110859.49</v>
      </c>
      <c r="EH95" s="123">
        <f t="shared" ref="EH95:EH97" si="350">EF95/EE95</f>
        <v>0.33663853013686118</v>
      </c>
      <c r="EI95" s="123">
        <f t="shared" ref="EI95:EI97" si="351">ED95/EE95</f>
        <v>4.2869215863321397</v>
      </c>
      <c r="EJ95" s="123" t="s">
        <v>5</v>
      </c>
      <c r="EK95" s="123">
        <v>85</v>
      </c>
      <c r="EL95" s="123"/>
      <c r="EM95" s="123"/>
      <c r="EN95" s="98"/>
      <c r="EO95" s="4" t="s">
        <v>4</v>
      </c>
      <c r="EP95" s="5">
        <f>8.09359*10^6</f>
        <v>8093590.0000000009</v>
      </c>
      <c r="EQ95" s="5">
        <v>28304.400000000001</v>
      </c>
      <c r="ER95" s="5">
        <v>6744.28</v>
      </c>
      <c r="ES95" s="106">
        <f t="shared" ref="ES95:ES97" si="352">SUM(EP95:ER95)</f>
        <v>8128638.6800000016</v>
      </c>
      <c r="ET95" s="123">
        <f t="shared" ref="ET95:ET97" si="353">ER95/EQ95</f>
        <v>0.2382767343593222</v>
      </c>
      <c r="EU95" s="123">
        <f t="shared" ref="EU95:EU97" si="354">EP95/EQ95</f>
        <v>285.94812114017611</v>
      </c>
      <c r="EV95" s="123" t="s">
        <v>5</v>
      </c>
      <c r="EW95" s="123">
        <v>100</v>
      </c>
      <c r="EX95" s="123"/>
      <c r="EY95" s="123"/>
      <c r="EZ95" s="98"/>
      <c r="FA95" s="4" t="s">
        <v>4</v>
      </c>
      <c r="FB95" s="5">
        <v>925968</v>
      </c>
      <c r="FC95" s="5">
        <v>144712</v>
      </c>
      <c r="FD95" s="5">
        <v>58812.5</v>
      </c>
      <c r="FE95" s="106">
        <f t="shared" ref="FE95:FE97" si="355">SUM(FB95:FD95)</f>
        <v>1129492.5</v>
      </c>
      <c r="FF95" s="123">
        <f t="shared" ref="FF95:FF97" si="356">FD95/FC95</f>
        <v>0.40641066393941067</v>
      </c>
      <c r="FG95" s="123">
        <f t="shared" ref="FG95:FG97" si="357">FB95/FC95</f>
        <v>6.3986953397092154</v>
      </c>
      <c r="FH95" s="123" t="s">
        <v>5</v>
      </c>
      <c r="FI95" s="123">
        <v>800</v>
      </c>
      <c r="FJ95" s="123"/>
      <c r="FK95" s="123"/>
      <c r="FL95" s="98"/>
    </row>
    <row r="96" spans="1:168">
      <c r="A96" s="4" t="s">
        <v>3</v>
      </c>
      <c r="B96" s="100">
        <v>1193.1500000000001</v>
      </c>
      <c r="C96" s="5">
        <v>2135.04</v>
      </c>
      <c r="D96" s="5">
        <v>351.83800000000002</v>
      </c>
      <c r="E96" s="104">
        <f>SUM(B96:D96)</f>
        <v>3680.0280000000002</v>
      </c>
      <c r="F96" s="123">
        <f>D96/C96</f>
        <v>0.1647922287170264</v>
      </c>
      <c r="G96" s="123">
        <f>B96/C96</f>
        <v>0.55884198890887293</v>
      </c>
      <c r="H96" s="123" t="s">
        <v>4</v>
      </c>
      <c r="I96" s="123">
        <v>12</v>
      </c>
      <c r="L96" s="98"/>
      <c r="S96" s="4" t="s">
        <v>3</v>
      </c>
      <c r="T96" s="100">
        <v>662.36500000000001</v>
      </c>
      <c r="U96" s="5">
        <v>1247.73</v>
      </c>
      <c r="V96" s="5">
        <v>449.31099999999998</v>
      </c>
      <c r="W96" s="104">
        <f>SUM(T96:V96)</f>
        <v>2359.4059999999999</v>
      </c>
      <c r="X96" s="123">
        <f>V96/U96</f>
        <v>0.36010274658780345</v>
      </c>
      <c r="Y96" s="123">
        <f>T96/U96</f>
        <v>0.53085603455875874</v>
      </c>
      <c r="Z96" s="123" t="s">
        <v>4</v>
      </c>
      <c r="AA96" s="123">
        <v>20</v>
      </c>
      <c r="AD96" s="98"/>
      <c r="AJ96" s="4" t="s">
        <v>3</v>
      </c>
      <c r="AK96" s="100">
        <v>1301.1400000000001</v>
      </c>
      <c r="AL96" s="5">
        <v>2583.1799999999998</v>
      </c>
      <c r="AM96" s="5">
        <v>449.73200000000003</v>
      </c>
      <c r="AN96" s="104">
        <f>SUM(AK96:AM96)</f>
        <v>4334.0519999999997</v>
      </c>
      <c r="AO96" s="123">
        <f>AM96/AL96</f>
        <v>0.17410014013735012</v>
      </c>
      <c r="AP96" s="123">
        <f>AK96/AL96</f>
        <v>0.5036969936280089</v>
      </c>
      <c r="AQ96" s="123" t="s">
        <v>4</v>
      </c>
      <c r="AR96" s="123">
        <v>40</v>
      </c>
      <c r="AV96" s="98"/>
      <c r="BG96" s="4" t="s">
        <v>3</v>
      </c>
      <c r="BH96" s="100">
        <v>378.18299999999999</v>
      </c>
      <c r="BI96" s="5">
        <v>744.88900000000001</v>
      </c>
      <c r="BJ96" s="5">
        <v>528.83900000000006</v>
      </c>
      <c r="BK96" s="104">
        <f>SUM(BH96:BJ96)</f>
        <v>1651.9110000000001</v>
      </c>
      <c r="BL96" s="123">
        <f>BJ96/BI96</f>
        <v>0.70995678550763941</v>
      </c>
      <c r="BM96" s="123">
        <f>BH96/BI96</f>
        <v>0.50770383238307992</v>
      </c>
      <c r="BN96" s="123" t="s">
        <v>4</v>
      </c>
      <c r="BO96" s="123">
        <v>60</v>
      </c>
      <c r="BP96" s="123"/>
      <c r="BQ96" s="123"/>
      <c r="BR96" s="123"/>
      <c r="BS96" s="98"/>
      <c r="EC96" s="4" t="s">
        <v>5</v>
      </c>
      <c r="ED96" s="5">
        <v>26261</v>
      </c>
      <c r="EE96" s="5">
        <v>8273.3700000000008</v>
      </c>
      <c r="EF96" s="5">
        <v>2785.13</v>
      </c>
      <c r="EG96" s="108">
        <f t="shared" si="349"/>
        <v>37319.5</v>
      </c>
      <c r="EH96" s="123">
        <f t="shared" si="350"/>
        <v>0.33663791175784474</v>
      </c>
      <c r="EI96" s="123">
        <f t="shared" si="351"/>
        <v>3.1741599855923277</v>
      </c>
      <c r="EJ96" s="123"/>
      <c r="EK96" s="123"/>
      <c r="EL96" s="123"/>
      <c r="EM96" s="123"/>
      <c r="EN96" s="98"/>
      <c r="EO96" s="4" t="s">
        <v>5</v>
      </c>
      <c r="EP96" s="5">
        <f>1.92394*10^6</f>
        <v>1923940</v>
      </c>
      <c r="EQ96" s="5">
        <v>10431.299999999999</v>
      </c>
      <c r="ER96" s="5">
        <v>2485.52</v>
      </c>
      <c r="ES96" s="108">
        <f t="shared" si="352"/>
        <v>1936856.82</v>
      </c>
      <c r="ET96" s="123">
        <f t="shared" si="353"/>
        <v>0.23827519101166683</v>
      </c>
      <c r="EU96" s="123">
        <f t="shared" si="354"/>
        <v>184.43913989627373</v>
      </c>
      <c r="EV96" s="123"/>
      <c r="EW96" s="123"/>
      <c r="EX96" s="123"/>
      <c r="EY96" s="123"/>
      <c r="EZ96" s="98"/>
      <c r="FA96" s="4" t="s">
        <v>5</v>
      </c>
      <c r="FB96" s="5">
        <v>357335</v>
      </c>
      <c r="FC96" s="5">
        <v>72313.899999999994</v>
      </c>
      <c r="FD96" s="5">
        <v>29389.200000000001</v>
      </c>
      <c r="FE96" s="108">
        <f t="shared" si="355"/>
        <v>459038.10000000003</v>
      </c>
      <c r="FF96" s="123">
        <f t="shared" si="356"/>
        <v>0.40641149211977229</v>
      </c>
      <c r="FG96" s="123">
        <f t="shared" si="357"/>
        <v>4.9414427931559493</v>
      </c>
      <c r="FH96" s="85" t="s">
        <v>49</v>
      </c>
      <c r="FI96" s="124">
        <f>FI93+FI94+FI95</f>
        <v>3400</v>
      </c>
      <c r="FJ96" s="123" t="s">
        <v>457</v>
      </c>
      <c r="FK96" s="123"/>
      <c r="FL96" s="98"/>
    </row>
    <row r="97" spans="1:168" ht="15.75" thickBot="1">
      <c r="A97" s="4" t="s">
        <v>4</v>
      </c>
      <c r="B97" s="5">
        <v>2181.35</v>
      </c>
      <c r="C97" s="5">
        <v>4147.8900000000003</v>
      </c>
      <c r="D97" s="5">
        <v>683.53899999999999</v>
      </c>
      <c r="E97" s="106">
        <f t="shared" ref="E97:E99" si="358">SUM(B97:D97)</f>
        <v>7012.7789999999995</v>
      </c>
      <c r="F97" s="123">
        <f t="shared" ref="F97:F99" si="359">D97/C97</f>
        <v>0.16479197857223793</v>
      </c>
      <c r="G97" s="123">
        <f t="shared" ref="G97:G99" si="360">B97/C97</f>
        <v>0.52589388821786487</v>
      </c>
      <c r="H97" s="123" t="s">
        <v>5</v>
      </c>
      <c r="I97" s="123">
        <v>4</v>
      </c>
      <c r="L97" s="98"/>
      <c r="S97" s="4" t="s">
        <v>4</v>
      </c>
      <c r="T97" s="5">
        <v>1204.8599999999999</v>
      </c>
      <c r="U97" s="5">
        <v>2096.2600000000002</v>
      </c>
      <c r="V97" s="5">
        <v>754.86900000000003</v>
      </c>
      <c r="W97" s="106">
        <f t="shared" ref="W97:W99" si="361">SUM(T97:V97)</f>
        <v>4055.989</v>
      </c>
      <c r="X97" s="123">
        <f t="shared" ref="X97:X99" si="362">V97/U97</f>
        <v>0.36010275442931694</v>
      </c>
      <c r="Y97" s="123">
        <f t="shared" ref="Y97:Y99" si="363">T97/U97</f>
        <v>0.5747664888897368</v>
      </c>
      <c r="Z97" s="123" t="s">
        <v>5</v>
      </c>
      <c r="AA97" s="123">
        <v>8</v>
      </c>
      <c r="AD97" s="98"/>
      <c r="AJ97" s="4" t="s">
        <v>4</v>
      </c>
      <c r="AK97" s="5">
        <v>2587.02</v>
      </c>
      <c r="AL97" s="5">
        <v>4714.95</v>
      </c>
      <c r="AM97" s="5">
        <v>820.87199999999996</v>
      </c>
      <c r="AN97" s="106">
        <f t="shared" ref="AN97:AN99" si="364">SUM(AK97:AM97)</f>
        <v>8122.8419999999996</v>
      </c>
      <c r="AO97" s="123">
        <f t="shared" ref="AO97:AO99" si="365">AM97/AL97</f>
        <v>0.1740998313873954</v>
      </c>
      <c r="AP97" s="123">
        <f t="shared" ref="AP97:AP99" si="366">AK97/AL97</f>
        <v>0.54868450354722742</v>
      </c>
      <c r="AQ97" s="123" t="s">
        <v>5</v>
      </c>
      <c r="AR97" s="123">
        <v>15</v>
      </c>
      <c r="AV97" s="98"/>
      <c r="BG97" s="4" t="s">
        <v>4</v>
      </c>
      <c r="BH97" s="5">
        <v>750.33600000000001</v>
      </c>
      <c r="BI97" s="5">
        <v>1487.33</v>
      </c>
      <c r="BJ97" s="5">
        <v>1055.94</v>
      </c>
      <c r="BK97" s="106">
        <f t="shared" ref="BK97:BK99" si="367">SUM(BH97:BJ97)</f>
        <v>3293.6060000000002</v>
      </c>
      <c r="BL97" s="123">
        <f t="shared" ref="BL97:BL99" si="368">BJ97/BI97</f>
        <v>0.70995676816846298</v>
      </c>
      <c r="BM97" s="123">
        <f t="shared" ref="BM97:BM99" si="369">BH97/BI97</f>
        <v>0.5044852184787505</v>
      </c>
      <c r="BN97" s="123" t="s">
        <v>5</v>
      </c>
      <c r="BO97" s="123">
        <v>25</v>
      </c>
      <c r="BP97" s="123"/>
      <c r="BQ97" s="123"/>
      <c r="BR97" s="123"/>
      <c r="BS97" s="98"/>
      <c r="EC97" s="7"/>
      <c r="ED97" s="105">
        <f>SUM(ED94:ED96)</f>
        <v>268447.8</v>
      </c>
      <c r="EE97" s="107">
        <f>SUM(EE94:EE96)</f>
        <v>110859.47</v>
      </c>
      <c r="EF97" s="109">
        <f>SUM(EF94:EF96)</f>
        <v>37319.519999999997</v>
      </c>
      <c r="EG97" s="101">
        <f t="shared" si="349"/>
        <v>416626.79000000004</v>
      </c>
      <c r="EH97" s="123">
        <f t="shared" si="350"/>
        <v>0.33663808784220234</v>
      </c>
      <c r="EI97" s="123">
        <f t="shared" si="351"/>
        <v>2.4215143731067807</v>
      </c>
      <c r="EJ97" s="123"/>
      <c r="EK97" s="123"/>
      <c r="EL97" s="123"/>
      <c r="EM97" s="123"/>
      <c r="EN97" s="98"/>
      <c r="EO97" s="7"/>
      <c r="EP97" s="105">
        <f>SUM(EP94:EP96)</f>
        <v>936709530.00000012</v>
      </c>
      <c r="EQ97" s="107">
        <f>SUM(EQ94:EQ96)</f>
        <v>8128635.7000000002</v>
      </c>
      <c r="ER97" s="109">
        <f>SUM(ER94:ER96)</f>
        <v>1936859.8</v>
      </c>
      <c r="ES97" s="101">
        <f t="shared" si="352"/>
        <v>946775025.50000012</v>
      </c>
      <c r="ET97" s="123">
        <f t="shared" si="353"/>
        <v>0.23827612301532963</v>
      </c>
      <c r="EU97" s="123">
        <f t="shared" si="354"/>
        <v>115.23576213410574</v>
      </c>
      <c r="EV97" s="123"/>
      <c r="EW97" s="123"/>
      <c r="EX97" s="123"/>
      <c r="EY97" s="123"/>
      <c r="EZ97" s="98"/>
      <c r="FA97" s="7"/>
      <c r="FB97" s="105">
        <f>SUM(FB94:FB96)</f>
        <v>3667043</v>
      </c>
      <c r="FC97" s="107">
        <f>SUM(FC94:FC96)</f>
        <v>1129491.8999999999</v>
      </c>
      <c r="FD97" s="109">
        <f>SUM(FD94:FD96)</f>
        <v>459037.7</v>
      </c>
      <c r="FE97" s="101">
        <f t="shared" si="355"/>
        <v>5255572.6000000006</v>
      </c>
      <c r="FF97" s="123">
        <f t="shared" si="356"/>
        <v>0.40641079409245878</v>
      </c>
      <c r="FG97" s="123">
        <f t="shared" si="357"/>
        <v>3.246630630994344</v>
      </c>
      <c r="FH97" s="123"/>
      <c r="FI97" s="123"/>
      <c r="FJ97" s="123"/>
      <c r="FK97" s="123"/>
      <c r="FL97" s="98"/>
    </row>
    <row r="98" spans="1:168" ht="15.75" thickTop="1">
      <c r="A98" s="4" t="s">
        <v>5</v>
      </c>
      <c r="B98" s="5">
        <v>305.53100000000001</v>
      </c>
      <c r="C98" s="5">
        <v>729.846</v>
      </c>
      <c r="D98" s="5">
        <v>120.273</v>
      </c>
      <c r="E98" s="108">
        <f t="shared" si="358"/>
        <v>1155.6499999999999</v>
      </c>
      <c r="F98" s="123">
        <f t="shared" si="359"/>
        <v>0.16479229864930409</v>
      </c>
      <c r="G98" s="123">
        <f t="shared" si="360"/>
        <v>0.41862392888362754</v>
      </c>
      <c r="L98" s="98"/>
      <c r="S98" s="4" t="s">
        <v>5</v>
      </c>
      <c r="T98" s="5">
        <v>492.17700000000002</v>
      </c>
      <c r="U98" s="5">
        <v>712.00199999999995</v>
      </c>
      <c r="V98" s="5">
        <v>256.39400000000001</v>
      </c>
      <c r="W98" s="108">
        <f t="shared" si="361"/>
        <v>1460.5730000000001</v>
      </c>
      <c r="X98" s="123">
        <f t="shared" si="362"/>
        <v>0.36010292105921055</v>
      </c>
      <c r="Y98" s="123">
        <f t="shared" si="363"/>
        <v>0.69125788972502888</v>
      </c>
      <c r="AD98" s="98"/>
      <c r="AJ98" s="4" t="s">
        <v>5</v>
      </c>
      <c r="AK98" s="5">
        <v>445.89699999999999</v>
      </c>
      <c r="AL98" s="5">
        <v>824.70699999999999</v>
      </c>
      <c r="AM98" s="5">
        <v>143.58099999999999</v>
      </c>
      <c r="AN98" s="108">
        <f t="shared" si="364"/>
        <v>1414.1849999999999</v>
      </c>
      <c r="AO98" s="123">
        <f t="shared" si="365"/>
        <v>0.17409940742591004</v>
      </c>
      <c r="AP98" s="123">
        <f t="shared" si="366"/>
        <v>0.54067323303912784</v>
      </c>
      <c r="AV98" s="98"/>
      <c r="BG98" s="4" t="s">
        <v>5</v>
      </c>
      <c r="BH98" s="5">
        <v>523.39200000000005</v>
      </c>
      <c r="BI98" s="5">
        <v>1061.3800000000001</v>
      </c>
      <c r="BJ98" s="5">
        <v>753.53700000000003</v>
      </c>
      <c r="BK98" s="108">
        <f t="shared" si="367"/>
        <v>2338.3090000000002</v>
      </c>
      <c r="BL98" s="123">
        <f t="shared" si="368"/>
        <v>0.70995967513991209</v>
      </c>
      <c r="BM98" s="123">
        <f t="shared" si="369"/>
        <v>0.49312404605325144</v>
      </c>
      <c r="BN98" s="123"/>
      <c r="BO98" s="123"/>
      <c r="BP98" s="123"/>
      <c r="BQ98" s="123"/>
      <c r="BR98" s="123"/>
      <c r="BS98" s="98"/>
      <c r="EC98" s="130"/>
      <c r="ED98" s="123"/>
      <c r="EE98" s="123"/>
      <c r="EF98" s="123"/>
      <c r="EG98" s="123"/>
      <c r="EH98" s="124" t="s">
        <v>420</v>
      </c>
      <c r="EI98" s="103">
        <f>AVERAGE(EI94:EI96)</f>
        <v>3.1212408701764871</v>
      </c>
      <c r="EJ98" s="123"/>
      <c r="EK98" s="123"/>
      <c r="EL98" s="123"/>
      <c r="EM98" s="123"/>
      <c r="EN98" s="98"/>
      <c r="EO98" s="130"/>
      <c r="EP98" s="123"/>
      <c r="EQ98" s="123"/>
      <c r="ER98" s="123"/>
      <c r="ES98" s="123"/>
      <c r="ET98" s="124" t="s">
        <v>420</v>
      </c>
      <c r="EU98" s="103">
        <f>AVERAGE(EU94:EU96)</f>
        <v>194.97883793614156</v>
      </c>
      <c r="EV98" s="123"/>
      <c r="EW98" s="123"/>
      <c r="EX98" s="123"/>
      <c r="EY98" s="123"/>
      <c r="EZ98" s="98"/>
      <c r="FA98" s="130"/>
      <c r="FB98" s="123"/>
      <c r="FC98" s="123"/>
      <c r="FD98" s="123"/>
      <c r="FE98" s="123"/>
      <c r="FF98" s="124" t="s">
        <v>420</v>
      </c>
      <c r="FG98" s="103">
        <f>AVERAGE(FG94:FG96)</f>
        <v>4.6508510934628235</v>
      </c>
      <c r="FH98" s="123"/>
      <c r="FI98" s="123"/>
      <c r="FJ98" s="123"/>
      <c r="FK98" s="123"/>
      <c r="FL98" s="98"/>
    </row>
    <row r="99" spans="1:168" ht="15.75" thickBot="1">
      <c r="A99" s="7"/>
      <c r="B99" s="105">
        <f>SUM(B96:B98)</f>
        <v>3680.0309999999999</v>
      </c>
      <c r="C99" s="107">
        <f>SUM(C96:C98)</f>
        <v>7012.7759999999998</v>
      </c>
      <c r="D99" s="109">
        <f>SUM(D96:D98)</f>
        <v>1155.6499999999999</v>
      </c>
      <c r="E99" s="101">
        <f t="shared" si="358"/>
        <v>11848.457</v>
      </c>
      <c r="F99" s="123">
        <f t="shared" si="359"/>
        <v>0.16479208804045642</v>
      </c>
      <c r="G99" s="123">
        <f t="shared" si="360"/>
        <v>0.52476095058504646</v>
      </c>
      <c r="L99" s="98"/>
      <c r="S99" s="7"/>
      <c r="T99" s="105">
        <f>SUM(T96:T98)</f>
        <v>2359.402</v>
      </c>
      <c r="U99" s="107">
        <f>SUM(U96:U98)</f>
        <v>4055.9920000000002</v>
      </c>
      <c r="V99" s="109">
        <f>SUM(V96:V98)</f>
        <v>1460.5740000000001</v>
      </c>
      <c r="W99" s="101">
        <f t="shared" si="361"/>
        <v>7875.9680000000008</v>
      </c>
      <c r="X99" s="123">
        <f t="shared" si="362"/>
        <v>0.36010278126781314</v>
      </c>
      <c r="Y99" s="123">
        <f t="shared" si="363"/>
        <v>0.5817077548476427</v>
      </c>
      <c r="AD99" s="98"/>
      <c r="AJ99" s="7"/>
      <c r="AK99" s="105">
        <f>SUM(AK96:AK98)</f>
        <v>4334.0569999999998</v>
      </c>
      <c r="AL99" s="107">
        <f>SUM(AL96:AL98)</f>
        <v>8122.8369999999995</v>
      </c>
      <c r="AM99" s="109">
        <f>SUM(AM96:AM98)</f>
        <v>1414.1849999999999</v>
      </c>
      <c r="AN99" s="101">
        <f t="shared" si="364"/>
        <v>13871.079</v>
      </c>
      <c r="AO99" s="123">
        <f t="shared" si="365"/>
        <v>0.1740998865297925</v>
      </c>
      <c r="AP99" s="123">
        <f t="shared" si="366"/>
        <v>0.53356444306342721</v>
      </c>
      <c r="AV99" s="98"/>
      <c r="BG99" s="7"/>
      <c r="BH99" s="105">
        <f>SUM(BH96:BH98)</f>
        <v>1651.9110000000001</v>
      </c>
      <c r="BI99" s="107">
        <f>SUM(BI96:BI98)</f>
        <v>3293.5990000000002</v>
      </c>
      <c r="BJ99" s="109">
        <f>SUM(BJ96:BJ98)</f>
        <v>2338.3159999999998</v>
      </c>
      <c r="BK99" s="101">
        <f t="shared" si="367"/>
        <v>7283.826</v>
      </c>
      <c r="BL99" s="123">
        <f t="shared" si="368"/>
        <v>0.70995770887712795</v>
      </c>
      <c r="BM99" s="123">
        <f t="shared" si="369"/>
        <v>0.50155194970608141</v>
      </c>
      <c r="BN99" s="123"/>
      <c r="BO99" s="123"/>
      <c r="BP99" s="123"/>
      <c r="BQ99" s="123"/>
      <c r="BR99" s="123"/>
      <c r="BS99" s="98"/>
      <c r="EC99" s="130"/>
      <c r="ED99" s="123"/>
      <c r="EE99" s="123"/>
      <c r="EF99" s="123"/>
      <c r="EG99" s="123"/>
      <c r="EH99" s="123"/>
      <c r="EI99" s="123"/>
      <c r="EJ99" s="123"/>
      <c r="EK99" s="123"/>
      <c r="EL99" s="123" t="s">
        <v>419</v>
      </c>
      <c r="EM99" s="123">
        <v>0.06</v>
      </c>
      <c r="EN99" s="98"/>
      <c r="EO99" s="130"/>
      <c r="EP99" s="123"/>
      <c r="EQ99" s="123"/>
      <c r="ER99" s="123"/>
      <c r="ES99" s="123"/>
      <c r="ET99" s="123"/>
      <c r="EU99" s="123"/>
      <c r="EV99" s="123"/>
      <c r="EW99" s="123"/>
      <c r="EX99" s="123" t="s">
        <v>419</v>
      </c>
      <c r="EY99" s="123">
        <v>6.0999999999999999E-2</v>
      </c>
      <c r="EZ99" s="98"/>
      <c r="FA99" s="130"/>
      <c r="FB99" s="123"/>
      <c r="FC99" s="123"/>
      <c r="FD99" s="123"/>
      <c r="FE99" s="123"/>
      <c r="FF99" s="123"/>
      <c r="FG99" s="123"/>
      <c r="FH99" s="123"/>
      <c r="FI99" s="123"/>
      <c r="FJ99" s="123" t="s">
        <v>419</v>
      </c>
      <c r="FK99" s="123">
        <v>0.01</v>
      </c>
      <c r="FL99" s="98"/>
    </row>
    <row r="100" spans="1:168" ht="16.5" thickTop="1" thickBot="1">
      <c r="A100" s="130"/>
      <c r="F100" s="124" t="s">
        <v>420</v>
      </c>
      <c r="G100" s="103">
        <f>AVERAGE(G96:G98)</f>
        <v>0.50111993533678845</v>
      </c>
      <c r="I100" s="123">
        <v>642.80893587910396</v>
      </c>
      <c r="J100" s="123">
        <v>363.52162635815301</v>
      </c>
      <c r="K100" s="123">
        <v>38.9388805822935</v>
      </c>
      <c r="L100" s="98"/>
      <c r="X100" s="124" t="s">
        <v>420</v>
      </c>
      <c r="Y100" s="103">
        <f>AVERAGE(Y96:Y98)</f>
        <v>0.59896013772450818</v>
      </c>
      <c r="AD100" s="98"/>
      <c r="AO100" s="124" t="s">
        <v>420</v>
      </c>
      <c r="AP100" s="103">
        <f>AVERAGE(AP96:AP98)</f>
        <v>0.53101824340478798</v>
      </c>
      <c r="AV100" s="98"/>
      <c r="BG100" s="130"/>
      <c r="BH100" s="123"/>
      <c r="BI100" s="123"/>
      <c r="BJ100" s="123"/>
      <c r="BK100" s="123"/>
      <c r="BL100" s="124" t="s">
        <v>420</v>
      </c>
      <c r="BM100" s="103">
        <f>AVERAGE(BM96:BM98)</f>
        <v>0.50177103230502729</v>
      </c>
      <c r="BN100" s="123"/>
      <c r="BO100" s="123"/>
      <c r="BP100" s="123"/>
      <c r="BQ100" s="123"/>
      <c r="BR100" s="123"/>
      <c r="BS100" s="98"/>
      <c r="EC100" s="140" t="s">
        <v>254</v>
      </c>
      <c r="ED100" s="123"/>
      <c r="EE100" s="123"/>
      <c r="EF100" s="123"/>
      <c r="EG100" s="123"/>
      <c r="EH100" s="123"/>
      <c r="EI100" s="123"/>
      <c r="EJ100" s="123"/>
      <c r="EK100" s="123"/>
      <c r="EL100" s="124" t="s">
        <v>218</v>
      </c>
      <c r="EM100" s="123"/>
      <c r="EN100" s="98"/>
      <c r="EO100" s="140" t="s">
        <v>254</v>
      </c>
      <c r="EP100" s="123"/>
      <c r="EQ100" s="123"/>
      <c r="ER100" s="123"/>
      <c r="ES100" s="123"/>
      <c r="ET100" s="123"/>
      <c r="EU100" s="123"/>
      <c r="EV100" s="123"/>
      <c r="EW100" s="123"/>
      <c r="EX100" s="124" t="s">
        <v>218</v>
      </c>
      <c r="EY100" s="123"/>
      <c r="EZ100" s="98"/>
      <c r="FA100" s="140" t="s">
        <v>254</v>
      </c>
      <c r="FB100" s="123"/>
      <c r="FC100" s="123"/>
      <c r="FD100" s="123"/>
      <c r="FE100" s="123"/>
      <c r="FF100" s="123"/>
      <c r="FG100" s="123"/>
      <c r="FH100" s="123"/>
      <c r="FI100" s="123"/>
      <c r="FJ100" s="124" t="s">
        <v>218</v>
      </c>
      <c r="FK100" s="123"/>
      <c r="FL100" s="98"/>
    </row>
    <row r="101" spans="1:168" ht="15.75" thickTop="1">
      <c r="A101" s="130"/>
      <c r="L101" s="98"/>
      <c r="AD101" s="98"/>
      <c r="AV101" s="98"/>
      <c r="BG101" s="130"/>
      <c r="BH101" s="123"/>
      <c r="BI101" s="123"/>
      <c r="BJ101" s="123"/>
      <c r="BK101" s="123"/>
      <c r="BL101" s="123"/>
      <c r="BM101" s="123"/>
      <c r="BN101" s="123"/>
      <c r="BO101" s="123"/>
      <c r="BP101" s="123"/>
      <c r="BQ101" s="123"/>
      <c r="BR101" s="123"/>
      <c r="BS101" s="98"/>
      <c r="EC101" s="1"/>
      <c r="ED101" s="2" t="s">
        <v>8</v>
      </c>
      <c r="EE101" s="2" t="s">
        <v>9</v>
      </c>
      <c r="EF101" s="2" t="s">
        <v>10</v>
      </c>
      <c r="EG101" s="3" t="s">
        <v>11</v>
      </c>
      <c r="EH101" s="103" t="s">
        <v>16</v>
      </c>
      <c r="EI101" s="103" t="s">
        <v>172</v>
      </c>
      <c r="EJ101" s="124" t="s">
        <v>171</v>
      </c>
      <c r="EK101" s="123"/>
      <c r="EL101" s="123">
        <f>0.13*0.06</f>
        <v>7.7999999999999996E-3</v>
      </c>
      <c r="EM101" s="103" t="s">
        <v>212</v>
      </c>
      <c r="EN101" s="98"/>
      <c r="EO101" s="1"/>
      <c r="EP101" s="2" t="s">
        <v>8</v>
      </c>
      <c r="EQ101" s="2" t="s">
        <v>9</v>
      </c>
      <c r="ER101" s="2" t="s">
        <v>10</v>
      </c>
      <c r="ES101" s="3" t="s">
        <v>11</v>
      </c>
      <c r="ET101" s="103" t="s">
        <v>16</v>
      </c>
      <c r="EU101" s="103" t="s">
        <v>172</v>
      </c>
      <c r="EV101" s="124" t="s">
        <v>171</v>
      </c>
      <c r="EW101" s="123"/>
      <c r="EX101" s="123">
        <f>0.13*0.061</f>
        <v>7.9299999999999995E-3</v>
      </c>
      <c r="EY101" s="103" t="s">
        <v>212</v>
      </c>
      <c r="EZ101" s="98"/>
      <c r="FA101" s="1"/>
      <c r="FB101" s="2" t="s">
        <v>8</v>
      </c>
      <c r="FC101" s="2" t="s">
        <v>9</v>
      </c>
      <c r="FD101" s="2" t="s">
        <v>10</v>
      </c>
      <c r="FE101" s="3" t="s">
        <v>11</v>
      </c>
      <c r="FF101" s="103" t="s">
        <v>16</v>
      </c>
      <c r="FG101" s="103" t="s">
        <v>172</v>
      </c>
      <c r="FH101" s="124" t="s">
        <v>171</v>
      </c>
      <c r="FI101" s="123"/>
      <c r="FJ101" s="123">
        <f>0.13*FK99</f>
        <v>1.3000000000000002E-3</v>
      </c>
      <c r="FK101" s="103" t="s">
        <v>212</v>
      </c>
      <c r="FL101" s="98"/>
    </row>
    <row r="102" spans="1:168" ht="15.75" thickBot="1">
      <c r="A102" s="140" t="s">
        <v>254</v>
      </c>
      <c r="J102" s="124" t="s">
        <v>218</v>
      </c>
      <c r="L102" s="98"/>
      <c r="S102" s="140" t="s">
        <v>254</v>
      </c>
      <c r="AB102" s="124" t="s">
        <v>218</v>
      </c>
      <c r="AD102" s="98"/>
      <c r="AJ102" s="140" t="s">
        <v>254</v>
      </c>
      <c r="AT102" s="124" t="s">
        <v>218</v>
      </c>
      <c r="AV102" s="98"/>
      <c r="BG102" s="140" t="s">
        <v>254</v>
      </c>
      <c r="BH102" s="123"/>
      <c r="BI102" s="123"/>
      <c r="BJ102" s="123"/>
      <c r="BK102" s="123"/>
      <c r="BL102" s="123"/>
      <c r="BM102" s="123"/>
      <c r="BN102" s="123"/>
      <c r="BO102" s="123"/>
      <c r="BP102" s="123"/>
      <c r="BQ102" s="124" t="s">
        <v>218</v>
      </c>
      <c r="BR102" s="123"/>
      <c r="BS102" s="98"/>
      <c r="EC102" s="4" t="s">
        <v>3</v>
      </c>
      <c r="ED102" s="100">
        <v>153367</v>
      </c>
      <c r="EE102" s="5">
        <v>84037.5</v>
      </c>
      <c r="EF102" s="5">
        <v>23718.5</v>
      </c>
      <c r="EG102" s="110">
        <f>SUM(ED102:EF102)</f>
        <v>261123</v>
      </c>
      <c r="EH102" s="123">
        <f>EF102/(ED102+EE102)</f>
        <v>9.9907541769427288E-2</v>
      </c>
      <c r="EI102" s="123">
        <f>ED102/EE102</f>
        <v>1.8249828945411275</v>
      </c>
      <c r="EJ102" s="125">
        <f>ABS((EG105-EG97)/EG97)</f>
        <v>1.3841164654822208E-2</v>
      </c>
      <c r="EK102" s="123"/>
      <c r="EL102" s="123">
        <f>0.307*0.06</f>
        <v>1.8419999999999999E-2</v>
      </c>
      <c r="EM102" s="123" t="s">
        <v>213</v>
      </c>
      <c r="EN102" s="98"/>
      <c r="EO102" s="4" t="s">
        <v>3</v>
      </c>
      <c r="EP102" s="100">
        <f>9.25982*10^8</f>
        <v>925982000</v>
      </c>
      <c r="EQ102" s="5">
        <f>8.09358*10^6</f>
        <v>8093579.9999999991</v>
      </c>
      <c r="ER102" s="5">
        <f>1.91625*10^6</f>
        <v>1916250</v>
      </c>
      <c r="ES102" s="110">
        <f>SUM(EP102:ER102)</f>
        <v>935991830</v>
      </c>
      <c r="ET102" s="123">
        <f>ER102/(EP102+EQ102)</f>
        <v>2.0514935204707955E-3</v>
      </c>
      <c r="EU102" s="123">
        <f>EP102/EQ102</f>
        <v>114.40944551113353</v>
      </c>
      <c r="EV102" s="125">
        <f>ABS((ES105-ES97)/ES97)</f>
        <v>7.5413659081586789E-4</v>
      </c>
      <c r="EW102" s="123"/>
      <c r="EX102" s="123">
        <f>0.307*0.061</f>
        <v>1.8727000000000001E-2</v>
      </c>
      <c r="EY102" s="123" t="s">
        <v>213</v>
      </c>
      <c r="EZ102" s="98"/>
      <c r="FA102" s="4" t="s">
        <v>3</v>
      </c>
      <c r="FB102" s="100">
        <f>2.30083*10^6</f>
        <v>2300830</v>
      </c>
      <c r="FC102" s="5">
        <v>922632</v>
      </c>
      <c r="FD102" s="5">
        <v>316065</v>
      </c>
      <c r="FE102" s="110">
        <f>SUM(FB102:FD102)</f>
        <v>3539527</v>
      </c>
      <c r="FF102" s="123">
        <f>FD102/(FB102+FC102)</f>
        <v>9.8051411805071695E-2</v>
      </c>
      <c r="FG102" s="123">
        <f>FB102/FC102</f>
        <v>2.4937678294271173</v>
      </c>
      <c r="FH102" s="125">
        <f>ABS((FE105-FE97)/FE97)</f>
        <v>2.1868559098584373E-2</v>
      </c>
      <c r="FI102" s="123"/>
      <c r="FJ102" s="123">
        <f>0.307*FK99</f>
        <v>3.0699999999999998E-3</v>
      </c>
      <c r="FK102" s="123" t="s">
        <v>213</v>
      </c>
      <c r="FL102" s="98"/>
    </row>
    <row r="103" spans="1:168" ht="15.75" thickTop="1">
      <c r="A103" s="1"/>
      <c r="B103" s="2" t="s">
        <v>8</v>
      </c>
      <c r="C103" s="2" t="s">
        <v>9</v>
      </c>
      <c r="D103" s="2" t="s">
        <v>10</v>
      </c>
      <c r="E103" s="3" t="s">
        <v>11</v>
      </c>
      <c r="F103" s="103" t="s">
        <v>16</v>
      </c>
      <c r="G103" s="103" t="s">
        <v>172</v>
      </c>
      <c r="H103" s="124" t="s">
        <v>171</v>
      </c>
      <c r="J103" s="123">
        <v>0.1</v>
      </c>
      <c r="K103" s="103" t="s">
        <v>212</v>
      </c>
      <c r="L103" s="98" t="s">
        <v>240</v>
      </c>
      <c r="S103" s="1"/>
      <c r="T103" s="2" t="s">
        <v>8</v>
      </c>
      <c r="U103" s="2" t="s">
        <v>9</v>
      </c>
      <c r="V103" s="2" t="s">
        <v>10</v>
      </c>
      <c r="W103" s="3" t="s">
        <v>11</v>
      </c>
      <c r="X103" s="103" t="s">
        <v>16</v>
      </c>
      <c r="Y103" s="103" t="s">
        <v>172</v>
      </c>
      <c r="Z103" s="124" t="s">
        <v>171</v>
      </c>
      <c r="AB103" s="123">
        <v>0.05</v>
      </c>
      <c r="AC103" s="103" t="s">
        <v>212</v>
      </c>
      <c r="AD103" s="98" t="s">
        <v>240</v>
      </c>
      <c r="AJ103" s="1"/>
      <c r="AK103" s="2" t="s">
        <v>8</v>
      </c>
      <c r="AL103" s="2" t="s">
        <v>9</v>
      </c>
      <c r="AM103" s="2" t="s">
        <v>10</v>
      </c>
      <c r="AN103" s="3" t="s">
        <v>11</v>
      </c>
      <c r="AO103" s="103" t="s">
        <v>16</v>
      </c>
      <c r="AP103" s="103" t="s">
        <v>172</v>
      </c>
      <c r="AQ103" s="124" t="s">
        <v>171</v>
      </c>
      <c r="AT103" s="123">
        <v>0.03</v>
      </c>
      <c r="AU103" s="103" t="s">
        <v>212</v>
      </c>
      <c r="AV103" s="98" t="s">
        <v>240</v>
      </c>
      <c r="BG103" s="1"/>
      <c r="BH103" s="2" t="s">
        <v>8</v>
      </c>
      <c r="BI103" s="2" t="s">
        <v>9</v>
      </c>
      <c r="BJ103" s="2" t="s">
        <v>10</v>
      </c>
      <c r="BK103" s="3" t="s">
        <v>11</v>
      </c>
      <c r="BL103" s="103" t="s">
        <v>16</v>
      </c>
      <c r="BM103" s="103" t="s">
        <v>172</v>
      </c>
      <c r="BN103" s="124" t="s">
        <v>171</v>
      </c>
      <c r="BO103" s="123"/>
      <c r="BP103" s="123"/>
      <c r="BQ103" s="123">
        <v>1.4999999999999999E-2</v>
      </c>
      <c r="BR103" s="103" t="s">
        <v>212</v>
      </c>
      <c r="BS103" s="98" t="s">
        <v>240</v>
      </c>
      <c r="EC103" s="4" t="s">
        <v>4</v>
      </c>
      <c r="ED103" s="5">
        <v>82216</v>
      </c>
      <c r="EE103" s="5">
        <v>19990.5</v>
      </c>
      <c r="EF103" s="5">
        <v>10211.200000000001</v>
      </c>
      <c r="EG103" s="112">
        <f t="shared" ref="EG103:EG104" si="370">SUM(ED103:EF103)</f>
        <v>112417.7</v>
      </c>
      <c r="EH103" s="123">
        <f t="shared" ref="EH103:EH105" si="371">EF103/(ED103+EE103)</f>
        <v>9.9907540127095643E-2</v>
      </c>
      <c r="EI103" s="123">
        <f t="shared" ref="EI103:EI105" si="372">ED103/EE103</f>
        <v>4.1127535579400218</v>
      </c>
      <c r="EJ103" s="123"/>
      <c r="EK103" s="123"/>
      <c r="EL103" s="123">
        <f>0.23*0.06</f>
        <v>1.38E-2</v>
      </c>
      <c r="EM103" s="123" t="s">
        <v>214</v>
      </c>
      <c r="EN103" s="98"/>
      <c r="EO103" s="4" t="s">
        <v>4</v>
      </c>
      <c r="EP103" s="5">
        <f>8.08737*10^6</f>
        <v>8087370</v>
      </c>
      <c r="EQ103" s="5">
        <v>28317.3</v>
      </c>
      <c r="ER103" s="5">
        <v>16649.2</v>
      </c>
      <c r="ES103" s="112">
        <f t="shared" ref="ES103:ES104" si="373">SUM(EP103:ER103)</f>
        <v>8132336.5</v>
      </c>
      <c r="ET103" s="123">
        <f t="shared" ref="ET103:ET105" si="374">ER103/(EP103+EQ103)</f>
        <v>2.051483674093752E-3</v>
      </c>
      <c r="EU103" s="123">
        <f t="shared" ref="EU103:EU105" si="375">EP103/EQ103</f>
        <v>285.5982032185272</v>
      </c>
      <c r="EV103" s="123"/>
      <c r="EW103" s="123"/>
      <c r="EX103" s="123">
        <f>0.23*0.061</f>
        <v>1.4030000000000001E-2</v>
      </c>
      <c r="EY103" s="123" t="s">
        <v>214</v>
      </c>
      <c r="EZ103" s="98"/>
      <c r="FA103" s="4" t="s">
        <v>4</v>
      </c>
      <c r="FB103" s="5">
        <v>893769</v>
      </c>
      <c r="FC103" s="5">
        <v>146324</v>
      </c>
      <c r="FD103" s="5">
        <v>101983</v>
      </c>
      <c r="FE103" s="112">
        <f t="shared" ref="FE103:FE104" si="376">SUM(FB103:FD103)</f>
        <v>1142076</v>
      </c>
      <c r="FF103" s="123">
        <f t="shared" ref="FF103:FF105" si="377">FD103/(FB103+FC103)</f>
        <v>9.8051808828633596E-2</v>
      </c>
      <c r="FG103" s="123">
        <f t="shared" ref="FG103:FG105" si="378">FB103/FC103</f>
        <v>6.1081504059484431</v>
      </c>
      <c r="FH103" s="123"/>
      <c r="FI103" s="123"/>
      <c r="FJ103" s="123">
        <f>0.23*FK99</f>
        <v>2.3E-3</v>
      </c>
      <c r="FK103" s="123" t="s">
        <v>214</v>
      </c>
      <c r="FL103" s="98"/>
    </row>
    <row r="104" spans="1:168">
      <c r="A104" s="4" t="s">
        <v>3</v>
      </c>
      <c r="B104" s="100">
        <v>1203.49</v>
      </c>
      <c r="C104" s="5">
        <v>2150.73</v>
      </c>
      <c r="D104" s="5">
        <v>359.77699999999999</v>
      </c>
      <c r="E104" s="110">
        <f>SUM(B104:D104)</f>
        <v>3713.9970000000003</v>
      </c>
      <c r="F104" s="123">
        <f>D104/(B104+C104)</f>
        <v>0.10726100255797173</v>
      </c>
      <c r="G104" s="123">
        <f>B104/C104</f>
        <v>0.55957279621337874</v>
      </c>
      <c r="H104" s="125">
        <f>ABS((E107-E99)/E99)</f>
        <v>6.86882688606628E-3</v>
      </c>
      <c r="J104" s="123">
        <f>J103</f>
        <v>0.1</v>
      </c>
      <c r="K104" s="123" t="s">
        <v>213</v>
      </c>
      <c r="L104" s="98" t="s">
        <v>241</v>
      </c>
      <c r="S104" s="4" t="s">
        <v>3</v>
      </c>
      <c r="T104" s="100">
        <v>650.74800000000005</v>
      </c>
      <c r="U104" s="5">
        <v>1231.27</v>
      </c>
      <c r="V104" s="5">
        <v>434.995</v>
      </c>
      <c r="W104" s="110">
        <f>SUM(T104:V104)</f>
        <v>2317.0129999999999</v>
      </c>
      <c r="X104" s="123">
        <f>V104/(T104+U104)</f>
        <v>0.23113222083954563</v>
      </c>
      <c r="Y104" s="123">
        <f>T104/U104</f>
        <v>0.52851770935700537</v>
      </c>
      <c r="Z104" s="125">
        <f>ABS((W107-W99)/W99)</f>
        <v>1.2211832247160003E-2</v>
      </c>
      <c r="AB104" s="123">
        <f>AB103</f>
        <v>0.05</v>
      </c>
      <c r="AC104" s="123" t="s">
        <v>213</v>
      </c>
      <c r="AD104" s="98" t="s">
        <v>241</v>
      </c>
      <c r="AJ104" s="4" t="s">
        <v>3</v>
      </c>
      <c r="AK104" s="100">
        <v>1298.3699999999999</v>
      </c>
      <c r="AL104" s="5">
        <v>2584.02</v>
      </c>
      <c r="AM104" s="5">
        <v>441.03800000000001</v>
      </c>
      <c r="AN104" s="110">
        <f>SUM(AK104:AM104)</f>
        <v>4323.4279999999999</v>
      </c>
      <c r="AO104" s="123">
        <f>AM104/(AK104+AL104)</f>
        <v>0.11359961260975843</v>
      </c>
      <c r="AP104" s="123">
        <f>AK104/AL104</f>
        <v>0.5024612812594329</v>
      </c>
      <c r="AQ104" s="125">
        <f>ABS((AN107-AN99)/AN99)</f>
        <v>5.7890233340900554E-4</v>
      </c>
      <c r="AT104" s="123">
        <f>AT103</f>
        <v>0.03</v>
      </c>
      <c r="AU104" s="123" t="s">
        <v>213</v>
      </c>
      <c r="AV104" s="98" t="s">
        <v>241</v>
      </c>
      <c r="BG104" s="4" t="s">
        <v>3</v>
      </c>
      <c r="BH104" s="100">
        <v>379.49099999999999</v>
      </c>
      <c r="BI104" s="5">
        <v>746.87</v>
      </c>
      <c r="BJ104" s="5">
        <v>531.12400000000002</v>
      </c>
      <c r="BK104" s="110">
        <f>SUM(BH104:BJ104)</f>
        <v>1657.4849999999999</v>
      </c>
      <c r="BL104" s="123">
        <f>BJ104/(BH104+BI104)</f>
        <v>0.47153976389452412</v>
      </c>
      <c r="BM104" s="123">
        <f>BH104/BI104</f>
        <v>0.50810850616573167</v>
      </c>
      <c r="BN104" s="125">
        <f>ABS((BK107-BK99)/BK99)</f>
        <v>1.8358483577175372E-3</v>
      </c>
      <c r="BO104" s="123"/>
      <c r="BP104" s="123"/>
      <c r="BQ104" s="123">
        <f>BQ103</f>
        <v>1.4999999999999999E-2</v>
      </c>
      <c r="BR104" s="123" t="s">
        <v>213</v>
      </c>
      <c r="BS104" s="98" t="s">
        <v>241</v>
      </c>
      <c r="EC104" s="4" t="s">
        <v>5</v>
      </c>
      <c r="ED104" s="5">
        <v>25540</v>
      </c>
      <c r="EE104" s="5">
        <v>8389.66</v>
      </c>
      <c r="EF104" s="5">
        <v>3389.83</v>
      </c>
      <c r="EG104" s="108">
        <f t="shared" si="370"/>
        <v>37319.490000000005</v>
      </c>
      <c r="EH104" s="123">
        <f t="shared" si="371"/>
        <v>9.9907573491747323E-2</v>
      </c>
      <c r="EI104" s="123">
        <f t="shared" si="372"/>
        <v>3.0442234846227381</v>
      </c>
      <c r="EJ104" s="123"/>
      <c r="EK104" s="123" t="s">
        <v>397</v>
      </c>
      <c r="EL104" s="123"/>
      <c r="EM104" s="103" t="s">
        <v>215</v>
      </c>
      <c r="EN104" s="98"/>
      <c r="EO104" s="4" t="s">
        <v>5</v>
      </c>
      <c r="EP104" s="5">
        <f>1.92246*10^6</f>
        <v>1922460</v>
      </c>
      <c r="EQ104" s="5">
        <v>10436</v>
      </c>
      <c r="ER104" s="5">
        <v>3965.31</v>
      </c>
      <c r="ES104" s="108">
        <f t="shared" si="373"/>
        <v>1936861.31</v>
      </c>
      <c r="ET104" s="123">
        <f t="shared" si="374"/>
        <v>2.0514864741817459E-3</v>
      </c>
      <c r="EU104" s="123">
        <f t="shared" si="375"/>
        <v>184.21425833652739</v>
      </c>
      <c r="EV104" s="123"/>
      <c r="EW104" s="123" t="s">
        <v>397</v>
      </c>
      <c r="EX104" s="123"/>
      <c r="EY104" s="103" t="s">
        <v>215</v>
      </c>
      <c r="EZ104" s="98"/>
      <c r="FA104" s="4" t="s">
        <v>5</v>
      </c>
      <c r="FB104" s="5">
        <v>344928</v>
      </c>
      <c r="FC104" s="5">
        <v>73119.600000000006</v>
      </c>
      <c r="FD104" s="5">
        <v>40990.199999999997</v>
      </c>
      <c r="FE104" s="108">
        <f t="shared" si="376"/>
        <v>459037.8</v>
      </c>
      <c r="FF104" s="123">
        <f t="shared" si="377"/>
        <v>9.8051513751065661E-2</v>
      </c>
      <c r="FG104" s="123">
        <f t="shared" si="378"/>
        <v>4.7173124579456118</v>
      </c>
      <c r="FH104" s="123"/>
      <c r="FI104" s="123" t="s">
        <v>397</v>
      </c>
      <c r="FJ104" s="123"/>
      <c r="FK104" s="103" t="s">
        <v>215</v>
      </c>
      <c r="FL104" s="98"/>
    </row>
    <row r="105" spans="1:168" ht="15.75" thickBot="1">
      <c r="A105" s="4" t="s">
        <v>4</v>
      </c>
      <c r="B105" s="5">
        <v>2202.0500000000002</v>
      </c>
      <c r="C105" s="5">
        <v>4174.22</v>
      </c>
      <c r="D105" s="5">
        <v>683.92499999999995</v>
      </c>
      <c r="E105" s="112">
        <f t="shared" ref="E105:E106" si="379">SUM(B105:D105)</f>
        <v>7060.1950000000006</v>
      </c>
      <c r="F105" s="123">
        <f t="shared" ref="F105:F107" si="380">D105/(B105+C105)</f>
        <v>0.10726098487046501</v>
      </c>
      <c r="G105" s="123">
        <f t="shared" ref="G105:G107" si="381">B105/C105</f>
        <v>0.5275356833132897</v>
      </c>
      <c r="J105" s="123">
        <f t="shared" ref="J105:J108" si="382">J104</f>
        <v>0.1</v>
      </c>
      <c r="K105" s="123" t="s">
        <v>214</v>
      </c>
      <c r="L105" s="98" t="s">
        <v>242</v>
      </c>
      <c r="S105" s="4" t="s">
        <v>4</v>
      </c>
      <c r="T105" s="5">
        <v>1182.68</v>
      </c>
      <c r="U105" s="5">
        <v>2068.15</v>
      </c>
      <c r="V105" s="5">
        <v>751.37099999999998</v>
      </c>
      <c r="W105" s="112">
        <f t="shared" ref="W105:W106" si="383">SUM(T105:V105)</f>
        <v>4002.201</v>
      </c>
      <c r="X105" s="123">
        <f t="shared" ref="X105:X107" si="384">V105/(T105+U105)</f>
        <v>0.2311320493535497</v>
      </c>
      <c r="Y105" s="123">
        <f t="shared" ref="Y105:Y107" si="385">T105/U105</f>
        <v>0.57185407248023601</v>
      </c>
      <c r="AB105" s="123">
        <f t="shared" ref="AB105:AB108" si="386">AB104</f>
        <v>0.05</v>
      </c>
      <c r="AC105" s="123" t="s">
        <v>214</v>
      </c>
      <c r="AD105" s="98" t="s">
        <v>242</v>
      </c>
      <c r="AJ105" s="4" t="s">
        <v>4</v>
      </c>
      <c r="AK105" s="5">
        <v>2580.1799999999998</v>
      </c>
      <c r="AL105" s="5">
        <v>4716.37</v>
      </c>
      <c r="AM105" s="5">
        <v>828.88499999999999</v>
      </c>
      <c r="AN105" s="112">
        <f t="shared" ref="AN105:AN106" si="387">SUM(AK105:AM105)</f>
        <v>8125.4349999999995</v>
      </c>
      <c r="AO105" s="123">
        <f t="shared" ref="AO105:AO107" si="388">AM105/(AK105+AL105)</f>
        <v>0.11359957788269799</v>
      </c>
      <c r="AP105" s="123">
        <f t="shared" ref="AP105:AP107" si="389">AK105/AL105</f>
        <v>0.54706903826459752</v>
      </c>
      <c r="AT105" s="123">
        <f t="shared" ref="AT105" si="390">AT104</f>
        <v>0.03</v>
      </c>
      <c r="AU105" s="123" t="s">
        <v>214</v>
      </c>
      <c r="AV105" s="98" t="s">
        <v>242</v>
      </c>
      <c r="BG105" s="4" t="s">
        <v>4</v>
      </c>
      <c r="BH105" s="5">
        <v>752.75400000000002</v>
      </c>
      <c r="BI105" s="5">
        <v>1490.75</v>
      </c>
      <c r="BJ105" s="5">
        <v>1057.9000000000001</v>
      </c>
      <c r="BK105" s="112">
        <f t="shared" ref="BK105:BK106" si="391">SUM(BH105:BJ105)</f>
        <v>3301.404</v>
      </c>
      <c r="BL105" s="123">
        <f t="shared" ref="BL105:BL107" si="392">BJ105/(BH105+BI105)</f>
        <v>0.47153916373672616</v>
      </c>
      <c r="BM105" s="123">
        <f t="shared" ref="BM105:BM107" si="393">BH105/BI105</f>
        <v>0.50494985745430154</v>
      </c>
      <c r="BN105" s="123"/>
      <c r="BO105" s="123"/>
      <c r="BP105" s="123"/>
      <c r="BQ105" s="123">
        <f t="shared" ref="BQ105" si="394">BQ104</f>
        <v>1.4999999999999999E-2</v>
      </c>
      <c r="BR105" s="123" t="s">
        <v>214</v>
      </c>
      <c r="BS105" s="98" t="s">
        <v>242</v>
      </c>
      <c r="EC105" s="7"/>
      <c r="ED105" s="111">
        <f>SUM(ED102:ED104)</f>
        <v>261123</v>
      </c>
      <c r="EE105" s="113">
        <f t="shared" ref="EE105:EF105" si="395">SUM(EE102:EE104)</f>
        <v>112417.66</v>
      </c>
      <c r="EF105" s="109">
        <f t="shared" si="395"/>
        <v>37319.53</v>
      </c>
      <c r="EG105" s="102">
        <f>SUM(EG102:EG104)</f>
        <v>410860.19</v>
      </c>
      <c r="EH105" s="123">
        <f t="shared" si="371"/>
        <v>9.9907544201479959E-2</v>
      </c>
      <c r="EI105" s="123">
        <f t="shared" si="372"/>
        <v>2.3227934116401285</v>
      </c>
      <c r="EJ105" s="123"/>
      <c r="EK105" s="123" t="s">
        <v>398</v>
      </c>
      <c r="EL105" s="123"/>
      <c r="EM105" s="103" t="s">
        <v>216</v>
      </c>
      <c r="EN105" s="98"/>
      <c r="EO105" s="7"/>
      <c r="EP105" s="111">
        <f>SUM(EP102:EP104)</f>
        <v>935991830</v>
      </c>
      <c r="EQ105" s="113">
        <f t="shared" ref="EQ105:ER105" si="396">SUM(EQ102:EQ104)</f>
        <v>8132333.2999999989</v>
      </c>
      <c r="ER105" s="109">
        <f t="shared" si="396"/>
        <v>1936864.51</v>
      </c>
      <c r="ES105" s="102">
        <f>SUM(ES102:ES104)</f>
        <v>946061027.80999994</v>
      </c>
      <c r="ET105" s="123">
        <f t="shared" si="374"/>
        <v>2.0514934214055829E-3</v>
      </c>
      <c r="EU105" s="123">
        <f t="shared" si="375"/>
        <v>115.09511421525237</v>
      </c>
      <c r="EV105" s="123"/>
      <c r="EW105" s="123" t="s">
        <v>398</v>
      </c>
      <c r="EX105" s="123"/>
      <c r="EY105" s="103" t="s">
        <v>216</v>
      </c>
      <c r="EZ105" s="98"/>
      <c r="FA105" s="7"/>
      <c r="FB105" s="111">
        <f>SUM(FB102:FB104)</f>
        <v>3539527</v>
      </c>
      <c r="FC105" s="113">
        <f t="shared" ref="FC105:FD105" si="397">SUM(FC102:FC104)</f>
        <v>1142075.6000000001</v>
      </c>
      <c r="FD105" s="109">
        <f t="shared" si="397"/>
        <v>459038.2</v>
      </c>
      <c r="FE105" s="102">
        <f>SUM(FE102:FE104)</f>
        <v>5140640.8</v>
      </c>
      <c r="FF105" s="123">
        <f t="shared" si="377"/>
        <v>9.8051509113567234E-2</v>
      </c>
      <c r="FG105" s="123">
        <f t="shared" si="378"/>
        <v>3.09920551669259</v>
      </c>
      <c r="FH105" s="123"/>
      <c r="FI105" s="123" t="s">
        <v>398</v>
      </c>
      <c r="FJ105" s="123"/>
      <c r="FK105" s="103" t="s">
        <v>216</v>
      </c>
      <c r="FL105" s="98"/>
    </row>
    <row r="106" spans="1:168" ht="15.75" thickTop="1">
      <c r="A106" s="4" t="s">
        <v>5</v>
      </c>
      <c r="B106" s="5">
        <v>308.45600000000002</v>
      </c>
      <c r="C106" s="5">
        <v>735.24599999999998</v>
      </c>
      <c r="D106" s="5">
        <v>111.94799999999999</v>
      </c>
      <c r="E106" s="108">
        <f t="shared" si="379"/>
        <v>1155.6500000000001</v>
      </c>
      <c r="F106" s="123">
        <f t="shared" si="380"/>
        <v>0.10726050156079034</v>
      </c>
      <c r="G106" s="123">
        <f t="shared" si="381"/>
        <v>0.41952761388705279</v>
      </c>
      <c r="J106" s="123">
        <f t="shared" si="382"/>
        <v>0.1</v>
      </c>
      <c r="K106" s="103" t="s">
        <v>215</v>
      </c>
      <c r="L106" s="98" t="s">
        <v>243</v>
      </c>
      <c r="S106" s="4" t="s">
        <v>5</v>
      </c>
      <c r="T106" s="5">
        <v>483.589</v>
      </c>
      <c r="U106" s="5">
        <v>702.77800000000002</v>
      </c>
      <c r="V106" s="5">
        <v>274.20699999999999</v>
      </c>
      <c r="W106" s="108">
        <f t="shared" si="383"/>
        <v>1460.5740000000001</v>
      </c>
      <c r="X106" s="123">
        <f t="shared" si="384"/>
        <v>0.2311316818488714</v>
      </c>
      <c r="Y106" s="123">
        <f t="shared" si="385"/>
        <v>0.68811061245514227</v>
      </c>
      <c r="AB106" s="123">
        <f t="shared" si="386"/>
        <v>0.05</v>
      </c>
      <c r="AC106" s="103" t="s">
        <v>215</v>
      </c>
      <c r="AD106" s="98" t="s">
        <v>243</v>
      </c>
      <c r="AJ106" s="4" t="s">
        <v>5</v>
      </c>
      <c r="AK106" s="5">
        <v>444.87900000000002</v>
      </c>
      <c r="AL106" s="5">
        <v>825.04399999999998</v>
      </c>
      <c r="AM106" s="5">
        <v>144.26300000000001</v>
      </c>
      <c r="AN106" s="108">
        <f t="shared" si="387"/>
        <v>1414.1859999999999</v>
      </c>
      <c r="AO106" s="123">
        <f t="shared" si="388"/>
        <v>0.11359980093281247</v>
      </c>
      <c r="AP106" s="123">
        <f t="shared" si="389"/>
        <v>0.53921851440650437</v>
      </c>
      <c r="AT106" s="123">
        <f t="shared" ref="AT106" si="398">AT105</f>
        <v>0.03</v>
      </c>
      <c r="AU106" s="103" t="s">
        <v>215</v>
      </c>
      <c r="AV106" s="98" t="s">
        <v>243</v>
      </c>
      <c r="BG106" s="4" t="s">
        <v>5</v>
      </c>
      <c r="BH106" s="5">
        <v>525.24099999999999</v>
      </c>
      <c r="BI106" s="5">
        <v>1063.78</v>
      </c>
      <c r="BJ106" s="5">
        <v>749.28800000000001</v>
      </c>
      <c r="BK106" s="108">
        <f t="shared" si="391"/>
        <v>2338.3090000000002</v>
      </c>
      <c r="BL106" s="123">
        <f t="shared" si="392"/>
        <v>0.47154065301843084</v>
      </c>
      <c r="BM106" s="123">
        <f t="shared" si="393"/>
        <v>0.49374964748350225</v>
      </c>
      <c r="BN106" s="123"/>
      <c r="BO106" s="123"/>
      <c r="BP106" s="123"/>
      <c r="BQ106" s="123">
        <f t="shared" ref="BQ106" si="399">BQ105</f>
        <v>1.4999999999999999E-2</v>
      </c>
      <c r="BR106" s="103" t="s">
        <v>215</v>
      </c>
      <c r="BS106" s="98" t="s">
        <v>243</v>
      </c>
      <c r="EC106" s="130"/>
      <c r="ED106" s="123"/>
      <c r="EE106" s="123"/>
      <c r="EF106" s="123"/>
      <c r="EG106" s="123"/>
      <c r="EH106" s="124" t="s">
        <v>420</v>
      </c>
      <c r="EI106" s="103">
        <f>AVERAGE(EI102:EI104)</f>
        <v>2.993986645701296</v>
      </c>
      <c r="EJ106" s="123"/>
      <c r="EK106" s="123" t="s">
        <v>399</v>
      </c>
      <c r="EL106" s="123"/>
      <c r="EM106" s="103" t="s">
        <v>217</v>
      </c>
      <c r="EN106" s="98"/>
      <c r="EO106" s="130"/>
      <c r="EP106" s="123"/>
      <c r="EQ106" s="123"/>
      <c r="ER106" s="123"/>
      <c r="ES106" s="123"/>
      <c r="ET106" s="124" t="s">
        <v>420</v>
      </c>
      <c r="EU106" s="103">
        <f>AVERAGE(EU102:EU104)</f>
        <v>194.74063568872938</v>
      </c>
      <c r="EV106" s="123"/>
      <c r="EW106" s="123" t="s">
        <v>399</v>
      </c>
      <c r="EX106" s="123"/>
      <c r="EY106" s="103" t="s">
        <v>217</v>
      </c>
      <c r="EZ106" s="98"/>
      <c r="FA106" s="130"/>
      <c r="FB106" s="123"/>
      <c r="FC106" s="123"/>
      <c r="FD106" s="123"/>
      <c r="FE106" s="123"/>
      <c r="FF106" s="124" t="s">
        <v>420</v>
      </c>
      <c r="FG106" s="103">
        <f>AVERAGE(FG102:FG104)</f>
        <v>4.4397435644403904</v>
      </c>
      <c r="FH106" s="123"/>
      <c r="FI106" s="123" t="s">
        <v>399</v>
      </c>
      <c r="FJ106" s="123"/>
      <c r="FK106" s="103" t="s">
        <v>217</v>
      </c>
      <c r="FL106" s="98"/>
    </row>
    <row r="107" spans="1:168" ht="15.75" thickBot="1">
      <c r="A107" s="7"/>
      <c r="B107" s="111">
        <f>SUM(B104:B106)</f>
        <v>3713.9960000000001</v>
      </c>
      <c r="C107" s="113">
        <f t="shared" ref="C107:D107" si="400">SUM(C104:C106)</f>
        <v>7060.1960000000008</v>
      </c>
      <c r="D107" s="109">
        <f t="shared" si="400"/>
        <v>1155.6500000000001</v>
      </c>
      <c r="E107" s="102">
        <f>SUM(E104:E106)</f>
        <v>11929.842000000001</v>
      </c>
      <c r="F107" s="123">
        <f t="shared" si="380"/>
        <v>0.10726094355845896</v>
      </c>
      <c r="G107" s="123">
        <f t="shared" si="381"/>
        <v>0.52604715223203435</v>
      </c>
      <c r="J107" s="123">
        <f t="shared" si="382"/>
        <v>0.1</v>
      </c>
      <c r="K107" s="103" t="s">
        <v>216</v>
      </c>
      <c r="L107" s="98" t="s">
        <v>244</v>
      </c>
      <c r="S107" s="7"/>
      <c r="T107" s="111">
        <f>SUM(T104:T106)</f>
        <v>2317.0170000000003</v>
      </c>
      <c r="U107" s="113">
        <f t="shared" ref="U107:V107" si="401">SUM(U104:U106)</f>
        <v>4002.1980000000003</v>
      </c>
      <c r="V107" s="109">
        <f t="shared" si="401"/>
        <v>1460.5729999999999</v>
      </c>
      <c r="W107" s="102">
        <f>SUM(W104:W106)</f>
        <v>7779.7880000000005</v>
      </c>
      <c r="X107" s="123">
        <f t="shared" si="384"/>
        <v>0.23113203143111918</v>
      </c>
      <c r="Y107" s="123">
        <f t="shared" si="385"/>
        <v>0.57893612459953259</v>
      </c>
      <c r="AB107" s="123">
        <f t="shared" si="386"/>
        <v>0.05</v>
      </c>
      <c r="AC107" s="103" t="s">
        <v>216</v>
      </c>
      <c r="AD107" s="98" t="s">
        <v>244</v>
      </c>
      <c r="AJ107" s="7"/>
      <c r="AK107" s="111">
        <f>SUM(AK104:AK106)</f>
        <v>4323.4290000000001</v>
      </c>
      <c r="AL107" s="113">
        <f t="shared" ref="AL107:AM107" si="402">SUM(AL104:AL106)</f>
        <v>8125.4339999999993</v>
      </c>
      <c r="AM107" s="109">
        <f t="shared" si="402"/>
        <v>1414.1859999999999</v>
      </c>
      <c r="AN107" s="102">
        <f>SUM(AN104:AN106)</f>
        <v>13863.048999999999</v>
      </c>
      <c r="AO107" s="123">
        <f t="shared" si="388"/>
        <v>0.1135996114665251</v>
      </c>
      <c r="AP107" s="123">
        <f t="shared" si="389"/>
        <v>0.53208591688763951</v>
      </c>
      <c r="AT107" s="123">
        <f t="shared" ref="AT107" si="403">AT106</f>
        <v>0.03</v>
      </c>
      <c r="AU107" s="103" t="s">
        <v>216</v>
      </c>
      <c r="AV107" s="98" t="s">
        <v>244</v>
      </c>
      <c r="BG107" s="7"/>
      <c r="BH107" s="111">
        <f>SUM(BH104:BH106)</f>
        <v>1657.4859999999999</v>
      </c>
      <c r="BI107" s="113">
        <f t="shared" ref="BI107:BJ107" si="404">SUM(BI104:BI106)</f>
        <v>3301.3999999999996</v>
      </c>
      <c r="BJ107" s="109">
        <f t="shared" si="404"/>
        <v>2338.3119999999999</v>
      </c>
      <c r="BK107" s="102">
        <f>SUM(BK104:BK106)</f>
        <v>7297.1980000000003</v>
      </c>
      <c r="BL107" s="123">
        <f t="shared" si="392"/>
        <v>0.47153977728062313</v>
      </c>
      <c r="BM107" s="123">
        <f t="shared" si="393"/>
        <v>0.50205549160962015</v>
      </c>
      <c r="BN107" s="123"/>
      <c r="BO107" s="123"/>
      <c r="BP107" s="123"/>
      <c r="BQ107" s="123">
        <f t="shared" ref="BQ107" si="405">BQ106</f>
        <v>1.4999999999999999E-2</v>
      </c>
      <c r="BR107" s="103" t="s">
        <v>216</v>
      </c>
      <c r="BS107" s="98" t="s">
        <v>244</v>
      </c>
      <c r="EC107" s="130" t="s">
        <v>12</v>
      </c>
      <c r="ED107" s="123">
        <f>ED102/ED94</f>
        <v>0.97266563924985894</v>
      </c>
      <c r="EE107" s="123" t="s">
        <v>163</v>
      </c>
      <c r="EF107" s="123">
        <f>EE102/EE94</f>
        <v>1.0140552920322374</v>
      </c>
      <c r="EG107" s="124" t="s">
        <v>255</v>
      </c>
      <c r="EH107" s="123"/>
      <c r="EI107" s="123"/>
      <c r="EJ107" s="123"/>
      <c r="EK107" s="123"/>
      <c r="EL107" s="124" t="s">
        <v>423</v>
      </c>
      <c r="EM107" s="123"/>
      <c r="EN107" s="98"/>
      <c r="EO107" s="130" t="s">
        <v>12</v>
      </c>
      <c r="EP107" s="123">
        <f>EP102/EP94</f>
        <v>0.99923383389518838</v>
      </c>
      <c r="EQ107" s="123" t="s">
        <v>163</v>
      </c>
      <c r="ER107" s="123">
        <f>EQ102/EQ94</f>
        <v>1.0004548881939208</v>
      </c>
      <c r="ES107" s="124" t="s">
        <v>255</v>
      </c>
      <c r="ET107" s="123"/>
      <c r="EU107" s="123"/>
      <c r="EV107" s="123"/>
      <c r="EW107" s="123"/>
      <c r="EX107" s="124" t="s">
        <v>423</v>
      </c>
      <c r="EY107" s="123"/>
      <c r="EZ107" s="98"/>
      <c r="FA107" s="130" t="s">
        <v>12</v>
      </c>
      <c r="FB107" s="123">
        <f>FB102/FB94</f>
        <v>0.96521852215426174</v>
      </c>
      <c r="FC107" s="123" t="s">
        <v>163</v>
      </c>
      <c r="FD107" s="123">
        <f>FC102/FC94</f>
        <v>1.0111412370433528</v>
      </c>
      <c r="FE107" s="124" t="s">
        <v>255</v>
      </c>
      <c r="FF107" s="123"/>
      <c r="FG107" s="123"/>
      <c r="FH107" s="123"/>
      <c r="FI107" s="123"/>
      <c r="FJ107" s="124" t="s">
        <v>423</v>
      </c>
      <c r="FK107" s="123"/>
      <c r="FL107" s="98"/>
    </row>
    <row r="108" spans="1:168" ht="15.75" thickTop="1">
      <c r="A108" s="130"/>
      <c r="F108" s="124" t="s">
        <v>420</v>
      </c>
      <c r="G108" s="103">
        <f>AVERAGE(G104:G106)</f>
        <v>0.50221203113790702</v>
      </c>
      <c r="J108" s="123">
        <f t="shared" si="382"/>
        <v>0.1</v>
      </c>
      <c r="K108" s="103" t="s">
        <v>217</v>
      </c>
      <c r="L108" s="98" t="s">
        <v>245</v>
      </c>
      <c r="X108" s="124" t="s">
        <v>420</v>
      </c>
      <c r="Y108" s="103">
        <f>AVERAGE(Y104:Y106)</f>
        <v>0.59616079809746125</v>
      </c>
      <c r="AB108" s="123">
        <f t="shared" si="386"/>
        <v>0.05</v>
      </c>
      <c r="AC108" s="103" t="s">
        <v>217</v>
      </c>
      <c r="AD108" s="98" t="s">
        <v>245</v>
      </c>
      <c r="AO108" s="124" t="s">
        <v>420</v>
      </c>
      <c r="AP108" s="103">
        <f>AVERAGE(AP104:AP106)</f>
        <v>0.52958294464351152</v>
      </c>
      <c r="AT108" s="123">
        <f t="shared" ref="AT108" si="406">AT107</f>
        <v>0.03</v>
      </c>
      <c r="AU108" s="103" t="s">
        <v>217</v>
      </c>
      <c r="AV108" s="98" t="s">
        <v>245</v>
      </c>
      <c r="BG108" s="130"/>
      <c r="BH108" s="123"/>
      <c r="BI108" s="123"/>
      <c r="BJ108" s="123"/>
      <c r="BK108" s="123"/>
      <c r="BL108" s="124" t="s">
        <v>420</v>
      </c>
      <c r="BM108" s="103">
        <f>AVERAGE(BM104:BM106)</f>
        <v>0.50226933703451182</v>
      </c>
      <c r="BN108" s="123"/>
      <c r="BO108" s="123"/>
      <c r="BP108" s="123"/>
      <c r="BQ108" s="123">
        <f t="shared" ref="BQ108" si="407">BQ107</f>
        <v>1.4999999999999999E-2</v>
      </c>
      <c r="BR108" s="103" t="s">
        <v>217</v>
      </c>
      <c r="BS108" s="98" t="s">
        <v>245</v>
      </c>
      <c r="EC108" s="130" t="s">
        <v>13</v>
      </c>
      <c r="ED108" s="123">
        <f t="shared" ref="ED108:ED109" si="408">ED103/ED95</f>
        <v>0.97285758574745174</v>
      </c>
      <c r="EE108" s="123" t="s">
        <v>164</v>
      </c>
      <c r="EF108" s="123">
        <f t="shared" ref="EF108:EF109" si="409">EE103/EE95</f>
        <v>1.0140564286221554</v>
      </c>
      <c r="EG108" s="123">
        <f>VAR(EI94:EI96)</f>
        <v>1.4232987571498104</v>
      </c>
      <c r="EH108" s="124">
        <f>STDEV(EI94:EI96)/EI98</f>
        <v>0.38222646160056239</v>
      </c>
      <c r="EI108" s="124" t="s">
        <v>449</v>
      </c>
      <c r="EJ108" s="123"/>
      <c r="EK108" s="123"/>
      <c r="EL108" s="123" t="s">
        <v>415</v>
      </c>
      <c r="EM108" s="123"/>
      <c r="EN108" s="98"/>
      <c r="EO108" s="130" t="s">
        <v>13</v>
      </c>
      <c r="EP108" s="123">
        <f t="shared" ref="EP108:EP109" si="410">EP103/EP95</f>
        <v>0.99923149059935068</v>
      </c>
      <c r="EQ108" s="123" t="s">
        <v>164</v>
      </c>
      <c r="ER108" s="123">
        <f t="shared" ref="ER108:ER109" si="411">EQ103/EQ95</f>
        <v>1.0004557595285537</v>
      </c>
      <c r="ES108" s="123">
        <f>VAR(EU94:EU96)</f>
        <v>7427.7069455536985</v>
      </c>
      <c r="ET108" s="124">
        <f>STDEV(EU94:EU96)/EU98</f>
        <v>0.44201794651261245</v>
      </c>
      <c r="EU108" s="124" t="s">
        <v>449</v>
      </c>
      <c r="EV108" s="123"/>
      <c r="EW108" s="123"/>
      <c r="EX108" s="123" t="s">
        <v>415</v>
      </c>
      <c r="EY108" s="123"/>
      <c r="EZ108" s="98"/>
      <c r="FA108" s="130" t="s">
        <v>13</v>
      </c>
      <c r="FB108" s="123">
        <f t="shared" ref="FB108:FB109" si="412">FB103/FB95</f>
        <v>0.96522666010056501</v>
      </c>
      <c r="FC108" s="123" t="s">
        <v>164</v>
      </c>
      <c r="FD108" s="123">
        <f t="shared" ref="FD108:FD109" si="413">FC103/FC95</f>
        <v>1.0111393664658079</v>
      </c>
      <c r="FE108" s="123">
        <f>VAR(FG94:FG96)</f>
        <v>3.6473120753827359</v>
      </c>
      <c r="FF108" s="124">
        <f>STDEV(FG94:FG96)/FG98</f>
        <v>0.41063316960568425</v>
      </c>
      <c r="FG108" s="124" t="s">
        <v>449</v>
      </c>
      <c r="FH108" s="123"/>
      <c r="FI108" s="123"/>
      <c r="FJ108" s="123" t="s">
        <v>415</v>
      </c>
      <c r="FK108" s="123"/>
      <c r="FL108" s="98"/>
    </row>
    <row r="109" spans="1:168">
      <c r="A109" s="130" t="s">
        <v>12</v>
      </c>
      <c r="B109" s="123">
        <f>B104/B96</f>
        <v>1.0086661358588609</v>
      </c>
      <c r="C109" s="123" t="s">
        <v>163</v>
      </c>
      <c r="D109" s="123">
        <f>C104/C96</f>
        <v>1.0073488084532374</v>
      </c>
      <c r="E109" s="124" t="s">
        <v>255</v>
      </c>
      <c r="J109" s="124" t="s">
        <v>246</v>
      </c>
      <c r="L109" s="98"/>
      <c r="S109" s="130" t="s">
        <v>12</v>
      </c>
      <c r="T109" s="123">
        <f>T104/T96</f>
        <v>0.98246133174307226</v>
      </c>
      <c r="U109" s="123" t="s">
        <v>163</v>
      </c>
      <c r="V109" s="123">
        <f>U104/U96</f>
        <v>0.98680804340682682</v>
      </c>
      <c r="W109" s="124" t="s">
        <v>255</v>
      </c>
      <c r="AB109" s="124" t="s">
        <v>246</v>
      </c>
      <c r="AD109" s="98"/>
      <c r="AJ109" s="130" t="s">
        <v>12</v>
      </c>
      <c r="AK109" s="123">
        <f>AK104/AK96</f>
        <v>0.99787109765282733</v>
      </c>
      <c r="AL109" s="123" t="s">
        <v>163</v>
      </c>
      <c r="AM109" s="123">
        <f>AL104/AL96</f>
        <v>1.0003251805913642</v>
      </c>
      <c r="AN109" s="124" t="s">
        <v>255</v>
      </c>
      <c r="AT109" s="124" t="s">
        <v>246</v>
      </c>
      <c r="AV109" s="98"/>
      <c r="BG109" s="130" t="s">
        <v>12</v>
      </c>
      <c r="BH109" s="123">
        <f>BH104/BH96</f>
        <v>1.0034586430378942</v>
      </c>
      <c r="BI109" s="123" t="s">
        <v>163</v>
      </c>
      <c r="BJ109" s="123">
        <f>BI104/BI96</f>
        <v>1.0026594566438758</v>
      </c>
      <c r="BK109" s="124" t="s">
        <v>255</v>
      </c>
      <c r="BL109" s="123"/>
      <c r="BM109" s="123"/>
      <c r="BN109" s="123"/>
      <c r="BO109" s="123"/>
      <c r="BP109" s="123"/>
      <c r="BQ109" s="124" t="s">
        <v>246</v>
      </c>
      <c r="BR109" s="123"/>
      <c r="BS109" s="98"/>
      <c r="EC109" s="130" t="s">
        <v>14</v>
      </c>
      <c r="ED109" s="123">
        <f t="shared" si="408"/>
        <v>0.97254483835345185</v>
      </c>
      <c r="EE109" s="123" t="s">
        <v>165</v>
      </c>
      <c r="EF109" s="123">
        <f t="shared" si="409"/>
        <v>1.0140559409285452</v>
      </c>
      <c r="EG109" s="123">
        <f>EG108/EI98</f>
        <v>0.45600413949126956</v>
      </c>
      <c r="EH109" s="123"/>
      <c r="EI109" s="124" t="s">
        <v>438</v>
      </c>
      <c r="EJ109" s="123"/>
      <c r="EK109" s="123"/>
      <c r="EL109" s="123" t="s">
        <v>403</v>
      </c>
      <c r="EM109" s="123">
        <v>1</v>
      </c>
      <c r="EN109" s="98" t="s">
        <v>416</v>
      </c>
      <c r="EO109" s="130" t="s">
        <v>14</v>
      </c>
      <c r="EP109" s="123">
        <f t="shared" si="410"/>
        <v>0.99923074524153555</v>
      </c>
      <c r="EQ109" s="123" t="s">
        <v>165</v>
      </c>
      <c r="ER109" s="123">
        <f t="shared" si="411"/>
        <v>1.0004505670434174</v>
      </c>
      <c r="ES109" s="123">
        <f>ES108/EU98</f>
        <v>38.094939041468599</v>
      </c>
      <c r="ET109" s="123"/>
      <c r="EU109" s="124" t="s">
        <v>438</v>
      </c>
      <c r="EV109" s="123"/>
      <c r="EW109" s="123"/>
      <c r="EX109" s="123" t="s">
        <v>403</v>
      </c>
      <c r="EY109" s="123">
        <v>1</v>
      </c>
      <c r="EZ109" s="98" t="s">
        <v>416</v>
      </c>
      <c r="FA109" s="130" t="s">
        <v>14</v>
      </c>
      <c r="FB109" s="123">
        <f t="shared" si="412"/>
        <v>0.96527907985503802</v>
      </c>
      <c r="FC109" s="123" t="s">
        <v>165</v>
      </c>
      <c r="FD109" s="123">
        <f t="shared" si="413"/>
        <v>1.0111417030474088</v>
      </c>
      <c r="FE109" s="123">
        <f>FE108/FG98</f>
        <v>0.78422465094815674</v>
      </c>
      <c r="FF109" s="123"/>
      <c r="FG109" s="124" t="s">
        <v>438</v>
      </c>
      <c r="FH109" s="123"/>
      <c r="FI109" s="123"/>
      <c r="FJ109" s="123" t="s">
        <v>403</v>
      </c>
      <c r="FK109" s="123">
        <v>1</v>
      </c>
      <c r="FL109" s="98" t="s">
        <v>416</v>
      </c>
    </row>
    <row r="110" spans="1:168">
      <c r="A110" s="130" t="s">
        <v>13</v>
      </c>
      <c r="B110" s="123">
        <f t="shared" ref="B110:B111" si="414">B105/B97</f>
        <v>1.0094895362963303</v>
      </c>
      <c r="C110" s="123" t="s">
        <v>164</v>
      </c>
      <c r="D110" s="123">
        <f t="shared" ref="D110:D111" si="415">C105/C97</f>
        <v>1.00634780575184</v>
      </c>
      <c r="E110" s="123">
        <f>VAR(G96:G98)</f>
        <v>5.3755876453261964E-3</v>
      </c>
      <c r="F110" s="124">
        <f>STDEV(G96:G98)/G100</f>
        <v>0.14630908475458568</v>
      </c>
      <c r="G110" s="124" t="s">
        <v>449</v>
      </c>
      <c r="L110" s="98"/>
      <c r="S110" s="130" t="s">
        <v>13</v>
      </c>
      <c r="T110" s="123">
        <f t="shared" ref="T110:T111" si="416">T105/T97</f>
        <v>0.98159122221668926</v>
      </c>
      <c r="U110" s="123" t="s">
        <v>164</v>
      </c>
      <c r="V110" s="123">
        <f t="shared" ref="V110:V111" si="417">U105/U97</f>
        <v>0.98659040386211627</v>
      </c>
      <c r="W110" s="123">
        <f>VAR(Y96:Y98)</f>
        <v>6.8711882681503633E-3</v>
      </c>
      <c r="X110" s="124">
        <f>STDEV(Y96:Y98)/Y100</f>
        <v>0.13839423651633029</v>
      </c>
      <c r="Y110" s="124" t="s">
        <v>449</v>
      </c>
      <c r="AD110" s="98"/>
      <c r="AJ110" s="130" t="s">
        <v>13</v>
      </c>
      <c r="AK110" s="123">
        <f t="shared" ref="AK110:AK111" si="418">AK105/AK97</f>
        <v>0.99735603126377059</v>
      </c>
      <c r="AL110" s="123" t="s">
        <v>164</v>
      </c>
      <c r="AM110" s="123">
        <f t="shared" ref="AM110:AM111" si="419">AL105/AL97</f>
        <v>1.0003011696836659</v>
      </c>
      <c r="AN110" s="123">
        <f>VAR(AP96:AP98)</f>
        <v>5.7588313081247122E-4</v>
      </c>
      <c r="AO110" s="124">
        <f>STDEV(AP96:AP98)/AP100</f>
        <v>4.5191601983157477E-2</v>
      </c>
      <c r="AP110" s="124" t="s">
        <v>449</v>
      </c>
      <c r="AV110" s="98"/>
      <c r="BG110" s="130" t="s">
        <v>13</v>
      </c>
      <c r="BH110" s="123">
        <f t="shared" ref="BH110:BH111" si="420">BH105/BH97</f>
        <v>1.0032225562947799</v>
      </c>
      <c r="BI110" s="123" t="s">
        <v>164</v>
      </c>
      <c r="BJ110" s="123">
        <f t="shared" ref="BJ110:BJ111" si="421">BI105/BI97</f>
        <v>1.0022994224550033</v>
      </c>
      <c r="BK110" s="123">
        <f>VAR(BM96:BM98)</f>
        <v>5.8667647295086047E-5</v>
      </c>
      <c r="BL110" s="124">
        <f>STDEV(BM96:BM98)/BM100</f>
        <v>1.5264892517127657E-2</v>
      </c>
      <c r="BM110" s="124" t="s">
        <v>449</v>
      </c>
      <c r="BN110" s="123"/>
      <c r="BO110" s="123"/>
      <c r="BP110" s="123"/>
      <c r="BQ110" s="123"/>
      <c r="BR110" s="123"/>
      <c r="BS110" s="98"/>
      <c r="EC110" s="130" t="s">
        <v>15</v>
      </c>
      <c r="ED110" s="123">
        <f>EG102/EG94</f>
        <v>0.97271424835666376</v>
      </c>
      <c r="EE110" s="123" t="s">
        <v>67</v>
      </c>
      <c r="EF110" s="123">
        <f>EG103/EG95</f>
        <v>1.0140557204439602</v>
      </c>
      <c r="EG110" s="124" t="s">
        <v>256</v>
      </c>
      <c r="EH110" s="123"/>
      <c r="EI110" s="123"/>
      <c r="EJ110" s="123"/>
      <c r="EK110" s="123"/>
      <c r="EL110" s="123" t="s">
        <v>401</v>
      </c>
      <c r="EM110" s="123">
        <v>500</v>
      </c>
      <c r="EN110" s="98" t="s">
        <v>417</v>
      </c>
      <c r="EO110" s="130" t="s">
        <v>15</v>
      </c>
      <c r="EP110" s="123">
        <f>ES102/ES94</f>
        <v>0.99923380730417022</v>
      </c>
      <c r="EQ110" s="123" t="s">
        <v>67</v>
      </c>
      <c r="ER110" s="123">
        <f>ES103/ES95</f>
        <v>1.0004549125807618</v>
      </c>
      <c r="ES110" s="124" t="s">
        <v>256</v>
      </c>
      <c r="ET110" s="123"/>
      <c r="EU110" s="123"/>
      <c r="EV110" s="123"/>
      <c r="EW110" s="123"/>
      <c r="EX110" s="123" t="s">
        <v>401</v>
      </c>
      <c r="EY110" s="123">
        <v>500</v>
      </c>
      <c r="EZ110" s="98" t="s">
        <v>417</v>
      </c>
      <c r="FA110" s="130" t="s">
        <v>15</v>
      </c>
      <c r="FB110" s="123">
        <f>FE102/FE94</f>
        <v>0.965226741335387</v>
      </c>
      <c r="FC110" s="123" t="s">
        <v>67</v>
      </c>
      <c r="FD110" s="123">
        <f>FE103/FE95</f>
        <v>1.0111408442287133</v>
      </c>
      <c r="FE110" s="124" t="s">
        <v>256</v>
      </c>
      <c r="FF110" s="123"/>
      <c r="FG110" s="123"/>
      <c r="FH110" s="123"/>
      <c r="FI110" s="123"/>
      <c r="FJ110" s="123" t="s">
        <v>401</v>
      </c>
      <c r="FK110" s="123">
        <v>500</v>
      </c>
      <c r="FL110" s="98" t="s">
        <v>417</v>
      </c>
    </row>
    <row r="111" spans="1:168">
      <c r="A111" s="130" t="s">
        <v>14</v>
      </c>
      <c r="B111" s="123">
        <f t="shared" si="414"/>
        <v>1.0095734966337295</v>
      </c>
      <c r="C111" s="123" t="s">
        <v>165</v>
      </c>
      <c r="D111" s="123">
        <f t="shared" si="415"/>
        <v>1.007398821121168</v>
      </c>
      <c r="G111" s="124" t="s">
        <v>438</v>
      </c>
      <c r="L111" s="98"/>
      <c r="S111" s="130" t="s">
        <v>14</v>
      </c>
      <c r="T111" s="123">
        <f t="shared" si="416"/>
        <v>0.98255099283387881</v>
      </c>
      <c r="U111" s="123" t="s">
        <v>165</v>
      </c>
      <c r="V111" s="123">
        <f t="shared" si="417"/>
        <v>0.98704498021072984</v>
      </c>
      <c r="Y111" s="124" t="s">
        <v>438</v>
      </c>
      <c r="AD111" s="98"/>
      <c r="AJ111" s="130" t="s">
        <v>14</v>
      </c>
      <c r="AK111" s="123">
        <f t="shared" si="418"/>
        <v>0.99771696154044553</v>
      </c>
      <c r="AL111" s="123" t="s">
        <v>165</v>
      </c>
      <c r="AM111" s="123">
        <f t="shared" si="419"/>
        <v>1.0004086299740393</v>
      </c>
      <c r="AP111" s="124" t="s">
        <v>438</v>
      </c>
      <c r="AV111" s="98"/>
      <c r="BG111" s="130" t="s">
        <v>14</v>
      </c>
      <c r="BH111" s="123">
        <f t="shared" si="420"/>
        <v>1.0035327249938859</v>
      </c>
      <c r="BI111" s="123" t="s">
        <v>165</v>
      </c>
      <c r="BJ111" s="123">
        <f t="shared" si="421"/>
        <v>1.0022612071077275</v>
      </c>
      <c r="BK111" s="123"/>
      <c r="BL111" s="123"/>
      <c r="BM111" s="124" t="s">
        <v>438</v>
      </c>
      <c r="BN111" s="123"/>
      <c r="BO111" s="123"/>
      <c r="BP111" s="123"/>
      <c r="BQ111" s="123"/>
      <c r="BR111" s="123"/>
      <c r="BS111" s="98"/>
      <c r="EC111" s="130" t="s">
        <v>170</v>
      </c>
      <c r="ED111" s="123">
        <f>VAR(ED107:ED109)</f>
        <v>2.4874541160770306E-8</v>
      </c>
      <c r="EE111" s="123" t="s">
        <v>170</v>
      </c>
      <c r="EF111" s="123">
        <f>VAR(EF107:EF109)</f>
        <v>3.2512468621276723E-13</v>
      </c>
      <c r="EG111" s="123">
        <f>VAR(EI102:EI104)</f>
        <v>1.3103664570657667</v>
      </c>
      <c r="EH111" s="124">
        <f>STDEV(EI102:EI104)/EI106</f>
        <v>0.3823371731426749</v>
      </c>
      <c r="EI111" s="124" t="s">
        <v>449</v>
      </c>
      <c r="EJ111" s="123"/>
      <c r="EK111" s="123"/>
      <c r="EL111" s="123"/>
      <c r="EM111" s="123"/>
      <c r="EN111" s="98"/>
      <c r="EO111" s="130" t="s">
        <v>170</v>
      </c>
      <c r="EP111" s="123">
        <f>VAR(EP107:EP109)</f>
        <v>2.5977291737956283E-12</v>
      </c>
      <c r="EQ111" s="123" t="s">
        <v>170</v>
      </c>
      <c r="ER111" s="123">
        <f>VAR(ER107:ER109)</f>
        <v>7.7322446010708794E-12</v>
      </c>
      <c r="ES111" s="123">
        <f>VAR(EU102:EU104)</f>
        <v>7409.5011564708911</v>
      </c>
      <c r="ET111" s="124">
        <f>STDEV(EU102:EU104)/EU106</f>
        <v>0.44201591004071833</v>
      </c>
      <c r="EU111" s="124" t="s">
        <v>449</v>
      </c>
      <c r="EV111" s="123"/>
      <c r="EW111" s="123"/>
      <c r="EX111" s="123"/>
      <c r="EY111" s="123"/>
      <c r="EZ111" s="98"/>
      <c r="FA111" s="130" t="s">
        <v>170</v>
      </c>
      <c r="FB111" s="123">
        <f>VAR(FB107:FB109)</f>
        <v>1.0802153253926608E-9</v>
      </c>
      <c r="FC111" s="123" t="s">
        <v>170</v>
      </c>
      <c r="FD111" s="123">
        <f>VAR(FD107:FD109)</f>
        <v>1.5293056181797308E-12</v>
      </c>
      <c r="FE111" s="123">
        <f>VAR(FG102:FG104)</f>
        <v>3.3237237203465106</v>
      </c>
      <c r="FF111" s="124">
        <f>STDEV(FG102:FG104)/FG106</f>
        <v>0.4106336844746285</v>
      </c>
      <c r="FG111" s="124" t="s">
        <v>449</v>
      </c>
      <c r="FH111" s="123"/>
      <c r="FI111" s="123"/>
      <c r="FJ111" s="123"/>
      <c r="FK111" s="123"/>
      <c r="FL111" s="98"/>
    </row>
    <row r="112" spans="1:168">
      <c r="A112" s="130" t="s">
        <v>15</v>
      </c>
      <c r="B112" s="123">
        <f>E104/E96</f>
        <v>1.009230636288637</v>
      </c>
      <c r="C112" s="123" t="s">
        <v>67</v>
      </c>
      <c r="D112" s="123">
        <f>E105/E97</f>
        <v>1.0067613709201446</v>
      </c>
      <c r="E112" s="124" t="s">
        <v>256</v>
      </c>
      <c r="L112" s="98"/>
      <c r="S112" s="130" t="s">
        <v>15</v>
      </c>
      <c r="T112" s="123">
        <f>W104/W96</f>
        <v>0.98203234203863177</v>
      </c>
      <c r="U112" s="123" t="s">
        <v>67</v>
      </c>
      <c r="V112" s="123">
        <f>W105/W97</f>
        <v>0.98673862281184688</v>
      </c>
      <c r="W112" s="124" t="s">
        <v>256</v>
      </c>
      <c r="AD112" s="98"/>
      <c r="AJ112" s="130" t="s">
        <v>15</v>
      </c>
      <c r="AK112" s="123">
        <f>AN104/AN96</f>
        <v>0.9975487142286249</v>
      </c>
      <c r="AL112" s="123" t="s">
        <v>67</v>
      </c>
      <c r="AM112" s="123">
        <f>AN105/AN97</f>
        <v>1.0003192232472329</v>
      </c>
      <c r="AN112" s="124" t="s">
        <v>256</v>
      </c>
      <c r="AV112" s="98"/>
      <c r="BG112" s="130" t="s">
        <v>15</v>
      </c>
      <c r="BH112" s="123">
        <f>BK104/BK96</f>
        <v>1.0033742737956222</v>
      </c>
      <c r="BI112" s="123" t="s">
        <v>67</v>
      </c>
      <c r="BJ112" s="123">
        <f>BK105/BK97</f>
        <v>1.00236761774177</v>
      </c>
      <c r="BK112" s="124" t="s">
        <v>256</v>
      </c>
      <c r="BL112" s="123"/>
      <c r="BM112" s="123"/>
      <c r="BN112" s="123"/>
      <c r="BO112" s="123"/>
      <c r="BP112" s="123"/>
      <c r="BQ112" s="123"/>
      <c r="BR112" s="123"/>
      <c r="BS112" s="98"/>
      <c r="EC112" s="130"/>
      <c r="ED112" s="123"/>
      <c r="EE112" s="123"/>
      <c r="EF112" s="123"/>
      <c r="EG112" s="123">
        <f>EG111/EI106</f>
        <v>0.43766609946212143</v>
      </c>
      <c r="EH112" s="123"/>
      <c r="EI112" s="124" t="s">
        <v>438</v>
      </c>
      <c r="EJ112" s="123"/>
      <c r="EK112" s="123"/>
      <c r="EL112" s="123"/>
      <c r="EM112" s="123"/>
      <c r="EN112" s="98"/>
      <c r="EO112" s="130"/>
      <c r="EP112" s="123"/>
      <c r="EQ112" s="123"/>
      <c r="ER112" s="123"/>
      <c r="ES112" s="123">
        <f>ES111/EU106</f>
        <v>38.048048524983408</v>
      </c>
      <c r="ET112" s="123"/>
      <c r="EU112" s="124" t="s">
        <v>438</v>
      </c>
      <c r="EV112" s="123"/>
      <c r="EW112" s="123"/>
      <c r="EX112" s="123"/>
      <c r="EY112" s="123"/>
      <c r="EZ112" s="98"/>
      <c r="FA112" s="130"/>
      <c r="FB112" s="123"/>
      <c r="FC112" s="123"/>
      <c r="FD112" s="123"/>
      <c r="FE112" s="123">
        <f>FE111/FG106</f>
        <v>0.7486296611740122</v>
      </c>
      <c r="FF112" s="123"/>
      <c r="FG112" s="124" t="s">
        <v>438</v>
      </c>
      <c r="FH112" s="123"/>
      <c r="FI112" s="123"/>
      <c r="FJ112" s="123"/>
      <c r="FK112" s="123"/>
      <c r="FL112" s="98"/>
    </row>
    <row r="113" spans="1:168">
      <c r="A113" s="130" t="s">
        <v>170</v>
      </c>
      <c r="B113" s="123">
        <f>VAR(B109:B111)</f>
        <v>2.5139019907520706E-7</v>
      </c>
      <c r="C113" s="123" t="s">
        <v>170</v>
      </c>
      <c r="D113" s="123">
        <f>VAR(D109:D111)</f>
        <v>3.5152349695365014E-7</v>
      </c>
      <c r="E113" s="123">
        <f>VAR(G104:G106)</f>
        <v>5.3841287928283466E-3</v>
      </c>
      <c r="F113" s="124">
        <f>STDEV(G104:G106)/G108</f>
        <v>0.14610686001532516</v>
      </c>
      <c r="G113" s="124" t="s">
        <v>449</v>
      </c>
      <c r="L113" s="98"/>
      <c r="S113" s="130" t="s">
        <v>170</v>
      </c>
      <c r="T113" s="123">
        <f>VAR(T109:T111)</f>
        <v>2.8104822278791264E-7</v>
      </c>
      <c r="U113" s="123" t="s">
        <v>170</v>
      </c>
      <c r="V113" s="123">
        <f>VAR(V109:V111)</f>
        <v>5.1690946197405871E-8</v>
      </c>
      <c r="W113" s="123">
        <f>VAR(Y104:Y106)</f>
        <v>6.8105863624960961E-3</v>
      </c>
      <c r="X113" s="124">
        <f>STDEV(Y104:Y106)/Y108</f>
        <v>0.13842955971530566</v>
      </c>
      <c r="Y113" s="124" t="s">
        <v>449</v>
      </c>
      <c r="AD113" s="98"/>
      <c r="AJ113" s="130" t="s">
        <v>170</v>
      </c>
      <c r="AK113" s="123">
        <f>VAR(AK109:AK111)</f>
        <v>6.9886998482795547E-8</v>
      </c>
      <c r="AL113" s="123" t="s">
        <v>170</v>
      </c>
      <c r="AM113" s="123">
        <f>VAR(AM109:AM111)</f>
        <v>3.181339527417279E-9</v>
      </c>
      <c r="AN113" s="123">
        <f>VAR(AP104:AP106)</f>
        <v>5.6709614975114508E-4</v>
      </c>
      <c r="AO113" s="124">
        <f>STDEV(AP104:AP106)/AP108</f>
        <v>4.49670460687292E-2</v>
      </c>
      <c r="AP113" s="124" t="s">
        <v>449</v>
      </c>
      <c r="AV113" s="98"/>
      <c r="BG113" s="130" t="s">
        <v>170</v>
      </c>
      <c r="BH113" s="123">
        <f>VAR(BH109:BH111)</f>
        <v>2.6238284730507347E-8</v>
      </c>
      <c r="BI113" s="123" t="s">
        <v>170</v>
      </c>
      <c r="BJ113" s="123">
        <f>VAR(BJ109:BJ111)</f>
        <v>4.8281287161142965E-8</v>
      </c>
      <c r="BK113" s="123">
        <f>VAR(BM104:BM106)</f>
        <v>5.6933097954741003E-5</v>
      </c>
      <c r="BL113" s="124">
        <f>STDEV(BM104:BM106)/BM108</f>
        <v>1.5022622091112249E-2</v>
      </c>
      <c r="BM113" s="124" t="s">
        <v>449</v>
      </c>
      <c r="BN113" s="123"/>
      <c r="BO113" s="123"/>
      <c r="BP113" s="123"/>
      <c r="BQ113" s="123"/>
      <c r="BR113" s="123"/>
      <c r="BS113" s="98"/>
      <c r="EC113" s="130"/>
      <c r="ED113" s="123"/>
      <c r="EE113" s="123"/>
      <c r="EF113" s="123" t="s">
        <v>444</v>
      </c>
      <c r="EG113" s="123"/>
      <c r="EH113" s="123"/>
      <c r="EI113" s="123"/>
      <c r="EJ113" s="123"/>
      <c r="EK113" s="123"/>
      <c r="EL113" s="123"/>
      <c r="EM113" s="123"/>
      <c r="EN113" s="98"/>
      <c r="EO113" s="130"/>
      <c r="EP113" s="123"/>
      <c r="EQ113" s="123"/>
      <c r="ER113" s="123" t="s">
        <v>444</v>
      </c>
      <c r="ES113" s="123"/>
      <c r="ET113" s="123"/>
      <c r="EU113" s="123"/>
      <c r="EV113" s="123"/>
      <c r="EW113" s="123"/>
      <c r="EX113" s="123"/>
      <c r="EY113" s="123"/>
      <c r="EZ113" s="98"/>
      <c r="FA113" s="130"/>
      <c r="FB113" s="123"/>
      <c r="FC113" s="123"/>
      <c r="FD113" s="123" t="s">
        <v>444</v>
      </c>
      <c r="FE113" s="123"/>
      <c r="FF113" s="123"/>
      <c r="FG113" s="123"/>
      <c r="FH113" s="123"/>
      <c r="FI113" s="123"/>
      <c r="FJ113" s="123"/>
      <c r="FK113" s="123"/>
      <c r="FL113" s="98"/>
    </row>
    <row r="114" spans="1:168">
      <c r="A114" s="130"/>
      <c r="G114" s="124" t="s">
        <v>438</v>
      </c>
      <c r="L114" s="98"/>
      <c r="Y114" s="124" t="s">
        <v>438</v>
      </c>
      <c r="AD114" s="98"/>
      <c r="AP114" s="124" t="s">
        <v>438</v>
      </c>
      <c r="AV114" s="98"/>
      <c r="BG114" s="130"/>
      <c r="BH114" s="123"/>
      <c r="BI114" s="123"/>
      <c r="BJ114" s="123"/>
      <c r="BK114" s="123"/>
      <c r="BL114" s="123"/>
      <c r="BM114" s="124" t="s">
        <v>438</v>
      </c>
      <c r="BN114" s="123"/>
      <c r="BO114" s="123"/>
      <c r="BP114" s="123"/>
      <c r="BQ114" s="123"/>
      <c r="BR114" s="123"/>
      <c r="BS114" s="98"/>
      <c r="EC114" s="130"/>
      <c r="ED114" s="123">
        <f>ED107</f>
        <v>0.97266563924985894</v>
      </c>
      <c r="EE114" s="123"/>
      <c r="EF114" s="123">
        <f>ABS(EE102-ED103)/EE102</f>
        <v>2.1674847538301352E-2</v>
      </c>
      <c r="EG114" s="123" t="s">
        <v>446</v>
      </c>
      <c r="EH114" s="123"/>
      <c r="EI114" s="123"/>
      <c r="EJ114" s="123"/>
      <c r="EK114" s="123"/>
      <c r="EL114" s="123"/>
      <c r="EM114" s="123"/>
      <c r="EN114" s="98"/>
      <c r="EO114" s="130"/>
      <c r="EP114" s="123">
        <f>EP107</f>
        <v>0.99923383389518838</v>
      </c>
      <c r="EQ114" s="123"/>
      <c r="ER114" s="123">
        <f>ABS(EQ102-EP103)/EQ102</f>
        <v>7.6727480299188606E-4</v>
      </c>
      <c r="ES114" s="123" t="s">
        <v>446</v>
      </c>
      <c r="ET114" s="123"/>
      <c r="EU114" s="123"/>
      <c r="EV114" s="123"/>
      <c r="EW114" s="123"/>
      <c r="EX114" s="123"/>
      <c r="EY114" s="123"/>
      <c r="EZ114" s="98"/>
      <c r="FA114" s="130"/>
      <c r="FB114" s="123">
        <f>FB107</f>
        <v>0.96521852215426174</v>
      </c>
      <c r="FC114" s="123"/>
      <c r="FD114" s="123">
        <f>ABS(FC102-FB103)/FC102</f>
        <v>3.1283328564368024E-2</v>
      </c>
      <c r="FE114" s="123" t="s">
        <v>446</v>
      </c>
      <c r="FF114" s="123"/>
      <c r="FG114" s="123"/>
      <c r="FH114" s="123"/>
      <c r="FI114" s="123"/>
      <c r="FJ114" s="123"/>
      <c r="FK114" s="123"/>
      <c r="FL114" s="98"/>
    </row>
    <row r="115" spans="1:168">
      <c r="A115" s="130"/>
      <c r="D115" s="123" t="s">
        <v>444</v>
      </c>
      <c r="L115" s="98"/>
      <c r="V115" s="123" t="s">
        <v>444</v>
      </c>
      <c r="AD115" s="98"/>
      <c r="AM115" s="123" t="s">
        <v>444</v>
      </c>
      <c r="AV115" s="98"/>
      <c r="BG115" s="130"/>
      <c r="BH115" s="123"/>
      <c r="BI115" s="123"/>
      <c r="BJ115" s="123" t="s">
        <v>444</v>
      </c>
      <c r="BK115" s="123"/>
      <c r="BL115" s="123"/>
      <c r="BM115" s="123"/>
      <c r="BN115" s="123"/>
      <c r="BO115" s="123"/>
      <c r="BP115" s="123"/>
      <c r="BQ115" s="123"/>
      <c r="BR115" s="123"/>
      <c r="BS115" s="98"/>
      <c r="EC115" s="130"/>
      <c r="ED115" s="123">
        <f t="shared" ref="ED115:ED116" si="422">ED108</f>
        <v>0.97285758574745174</v>
      </c>
      <c r="EE115" s="123"/>
      <c r="EF115" s="123">
        <f>ABS((EE94-ED95)/EE94)</f>
        <v>1.9754394390432625E-2</v>
      </c>
      <c r="EG115" s="123" t="s">
        <v>445</v>
      </c>
      <c r="EH115" s="123"/>
      <c r="EI115" s="123"/>
      <c r="EJ115" s="123"/>
      <c r="EK115" s="123"/>
      <c r="EL115" s="123"/>
      <c r="EM115" s="123"/>
      <c r="EN115" s="98"/>
      <c r="EO115" s="130"/>
      <c r="EP115" s="123">
        <f t="shared" ref="EP115:EP116" si="423">EP108</f>
        <v>0.99923149059935068</v>
      </c>
      <c r="EQ115" s="123"/>
      <c r="ER115" s="123">
        <f>ABS((EQ94-EP95)/EQ94)</f>
        <v>4.5612430314354089E-4</v>
      </c>
      <c r="ES115" s="123" t="s">
        <v>445</v>
      </c>
      <c r="ET115" s="123"/>
      <c r="EU115" s="123"/>
      <c r="EV115" s="123"/>
      <c r="EW115" s="123"/>
      <c r="EX115" s="123"/>
      <c r="EY115" s="123"/>
      <c r="EZ115" s="98"/>
      <c r="FA115" s="130"/>
      <c r="FB115" s="123">
        <f t="shared" ref="FB115:FB116" si="424">FB108</f>
        <v>0.96522666010056501</v>
      </c>
      <c r="FC115" s="123"/>
      <c r="FD115" s="123">
        <f>ABS((FC94-FB95)/FC94)</f>
        <v>1.4797263678865843E-2</v>
      </c>
      <c r="FE115" s="123" t="s">
        <v>445</v>
      </c>
      <c r="FF115" s="123"/>
      <c r="FG115" s="123"/>
      <c r="FH115" s="123"/>
      <c r="FI115" s="123"/>
      <c r="FJ115" s="123"/>
      <c r="FK115" s="123"/>
      <c r="FL115" s="98"/>
    </row>
    <row r="116" spans="1:168">
      <c r="A116" s="130"/>
      <c r="B116" s="123">
        <f>B109</f>
        <v>1.0086661358588609</v>
      </c>
      <c r="D116" s="123">
        <f>ABS(C104-B105)/C104</f>
        <v>2.3861665574014479E-2</v>
      </c>
      <c r="E116" s="123" t="s">
        <v>446</v>
      </c>
      <c r="L116" s="98"/>
      <c r="T116" s="123">
        <f>T109</f>
        <v>0.98246133174307226</v>
      </c>
      <c r="V116" s="123">
        <f>ABS(U104-T105)/U104</f>
        <v>3.9463318362341258E-2</v>
      </c>
      <c r="W116" s="123" t="s">
        <v>446</v>
      </c>
      <c r="AD116" s="98"/>
      <c r="AK116" s="123">
        <f>AK109</f>
        <v>0.99787109765282733</v>
      </c>
      <c r="AM116" s="123">
        <f>ABS(AL104-AK105)/AL104</f>
        <v>1.4860566094690233E-3</v>
      </c>
      <c r="AN116" s="123" t="s">
        <v>446</v>
      </c>
      <c r="AV116" s="98"/>
      <c r="BG116" s="130"/>
      <c r="BH116" s="123">
        <f>BH109</f>
        <v>1.0034586430378942</v>
      </c>
      <c r="BI116" s="123"/>
      <c r="BJ116" s="123">
        <f>ABS(BI104-BH105)/BI104</f>
        <v>7.8782117369823584E-3</v>
      </c>
      <c r="BK116" s="123" t="s">
        <v>446</v>
      </c>
      <c r="BL116" s="123"/>
      <c r="BM116" s="123"/>
      <c r="BN116" s="123"/>
      <c r="BO116" s="123"/>
      <c r="BP116" s="123"/>
      <c r="BQ116" s="123"/>
      <c r="BR116" s="123"/>
      <c r="BS116" s="98"/>
      <c r="EC116" s="130"/>
      <c r="ED116" s="123">
        <f t="shared" si="422"/>
        <v>0.97254483835345185</v>
      </c>
      <c r="EE116" s="123"/>
      <c r="EF116" s="123"/>
      <c r="EG116" s="123"/>
      <c r="EH116" s="123"/>
      <c r="EI116" s="123"/>
      <c r="EJ116" s="123"/>
      <c r="EK116" s="123"/>
      <c r="EL116" s="123"/>
      <c r="EM116" s="123"/>
      <c r="EN116" s="98"/>
      <c r="EO116" s="130"/>
      <c r="EP116" s="123">
        <f t="shared" si="423"/>
        <v>0.99923074524153555</v>
      </c>
      <c r="EQ116" s="123"/>
      <c r="ER116" s="123"/>
      <c r="ES116" s="123"/>
      <c r="ET116" s="123"/>
      <c r="EU116" s="123"/>
      <c r="EV116" s="123"/>
      <c r="EW116" s="123"/>
      <c r="EX116" s="123"/>
      <c r="EY116" s="123"/>
      <c r="EZ116" s="98"/>
      <c r="FA116" s="130"/>
      <c r="FB116" s="123">
        <f t="shared" si="424"/>
        <v>0.96527907985503802</v>
      </c>
      <c r="FC116" s="123"/>
      <c r="FD116" s="123"/>
      <c r="FE116" s="123"/>
      <c r="FF116" s="123"/>
      <c r="FG116" s="123"/>
      <c r="FH116" s="123"/>
      <c r="FI116" s="123"/>
      <c r="FJ116" s="123"/>
      <c r="FK116" s="123"/>
      <c r="FL116" s="98"/>
    </row>
    <row r="117" spans="1:168">
      <c r="A117" s="130"/>
      <c r="B117" s="123">
        <f t="shared" ref="B117:B118" si="425">B110</f>
        <v>1.0094895362963303</v>
      </c>
      <c r="D117" s="123">
        <f>ABS((C96-B97)/C96)</f>
        <v>2.1690460131894459E-2</v>
      </c>
      <c r="E117" s="123" t="s">
        <v>445</v>
      </c>
      <c r="L117" s="98"/>
      <c r="T117" s="123">
        <f t="shared" ref="T117:T118" si="426">T110</f>
        <v>0.98159122221668926</v>
      </c>
      <c r="V117" s="123">
        <f>ABS((U96-T97)/U96)</f>
        <v>3.4358394845038685E-2</v>
      </c>
      <c r="W117" s="123" t="s">
        <v>445</v>
      </c>
      <c r="AD117" s="98"/>
      <c r="AK117" s="123">
        <f t="shared" ref="AK117:AK118" si="427">AK110</f>
        <v>0.99735603126377059</v>
      </c>
      <c r="AM117" s="123">
        <f>ABS((AL96-AK97)/AL96)</f>
        <v>1.486539846236091E-3</v>
      </c>
      <c r="AN117" s="123" t="s">
        <v>445</v>
      </c>
      <c r="AV117" s="98"/>
      <c r="BG117" s="130"/>
      <c r="BH117" s="123">
        <f t="shared" ref="BH117:BH118" si="428">BH110</f>
        <v>1.0032225562947799</v>
      </c>
      <c r="BI117" s="123"/>
      <c r="BJ117" s="123">
        <f>ABS((BI96-BH97)/BI96)</f>
        <v>7.31249890923346E-3</v>
      </c>
      <c r="BK117" s="123" t="s">
        <v>445</v>
      </c>
      <c r="BL117" s="123"/>
      <c r="BM117" s="123"/>
      <c r="BN117" s="123"/>
      <c r="BO117" s="123"/>
      <c r="BP117" s="123"/>
      <c r="BQ117" s="123"/>
      <c r="BR117" s="123"/>
      <c r="BS117" s="98"/>
      <c r="EC117" s="130"/>
      <c r="ED117" s="123">
        <f>EF107</f>
        <v>1.0140552920322374</v>
      </c>
      <c r="EE117" s="123"/>
      <c r="EF117" s="123"/>
      <c r="EG117" s="123"/>
      <c r="EH117" s="123"/>
      <c r="EI117" s="123"/>
      <c r="EJ117" s="123"/>
      <c r="EK117" s="123"/>
      <c r="EL117" s="123"/>
      <c r="EM117" s="123"/>
      <c r="EN117" s="98"/>
      <c r="EO117" s="130"/>
      <c r="EP117" s="123">
        <f>ER107</f>
        <v>1.0004548881939208</v>
      </c>
      <c r="EQ117" s="123"/>
      <c r="ER117" s="123"/>
      <c r="ES117" s="123"/>
      <c r="ET117" s="123"/>
      <c r="EU117" s="123"/>
      <c r="EV117" s="123"/>
      <c r="EW117" s="123"/>
      <c r="EX117" s="123"/>
      <c r="EY117" s="123"/>
      <c r="EZ117" s="98"/>
      <c r="FA117" s="130"/>
      <c r="FB117" s="123">
        <f>FD107</f>
        <v>1.0111412370433528</v>
      </c>
      <c r="FC117" s="123"/>
      <c r="FD117" s="123"/>
      <c r="FE117" s="123"/>
      <c r="FF117" s="123"/>
      <c r="FG117" s="123"/>
      <c r="FH117" s="123"/>
      <c r="FI117" s="123"/>
      <c r="FJ117" s="123"/>
      <c r="FK117" s="123"/>
      <c r="FL117" s="98"/>
    </row>
    <row r="118" spans="1:168">
      <c r="A118" s="130"/>
      <c r="B118" s="123">
        <f t="shared" si="425"/>
        <v>1.0095734966337295</v>
      </c>
      <c r="L118" s="98"/>
      <c r="T118" s="123">
        <f t="shared" si="426"/>
        <v>0.98255099283387881</v>
      </c>
      <c r="AD118" s="98"/>
      <c r="AK118" s="123">
        <f t="shared" si="427"/>
        <v>0.99771696154044553</v>
      </c>
      <c r="AV118" s="98"/>
      <c r="BG118" s="130"/>
      <c r="BH118" s="123">
        <f t="shared" si="428"/>
        <v>1.0035327249938859</v>
      </c>
      <c r="BI118" s="123"/>
      <c r="BJ118" s="123"/>
      <c r="BK118" s="123"/>
      <c r="BL118" s="123"/>
      <c r="BM118" s="123"/>
      <c r="BN118" s="123"/>
      <c r="BO118" s="123"/>
      <c r="BP118" s="123"/>
      <c r="BQ118" s="123"/>
      <c r="BR118" s="123"/>
      <c r="BS118" s="98"/>
      <c r="EC118" s="130"/>
      <c r="ED118" s="123">
        <f t="shared" ref="ED118:ED119" si="429">EF108</f>
        <v>1.0140564286221554</v>
      </c>
      <c r="EE118" s="123"/>
      <c r="EF118" s="123"/>
      <c r="EG118" s="123"/>
      <c r="EH118" s="123"/>
      <c r="EI118" s="123"/>
      <c r="EJ118" s="123"/>
      <c r="EK118" s="123"/>
      <c r="EL118" s="123"/>
      <c r="EM118" s="123"/>
      <c r="EN118" s="98"/>
      <c r="EO118" s="130"/>
      <c r="EP118" s="123">
        <f t="shared" ref="EP118:EP119" si="430">ER108</f>
        <v>1.0004557595285537</v>
      </c>
      <c r="EQ118" s="123"/>
      <c r="ER118" s="123"/>
      <c r="ES118" s="123"/>
      <c r="ET118" s="123"/>
      <c r="EU118" s="123"/>
      <c r="EV118" s="123"/>
      <c r="EW118" s="123"/>
      <c r="EX118" s="123"/>
      <c r="EY118" s="123"/>
      <c r="EZ118" s="98"/>
      <c r="FA118" s="130"/>
      <c r="FB118" s="123">
        <f t="shared" ref="FB118:FB119" si="431">FD108</f>
        <v>1.0111393664658079</v>
      </c>
      <c r="FC118" s="123"/>
      <c r="FD118" s="123"/>
      <c r="FE118" s="123"/>
      <c r="FF118" s="123"/>
      <c r="FG118" s="123"/>
      <c r="FH118" s="123"/>
      <c r="FI118" s="123"/>
      <c r="FJ118" s="123"/>
      <c r="FK118" s="123"/>
      <c r="FL118" s="98"/>
    </row>
    <row r="119" spans="1:168">
      <c r="A119" s="130"/>
      <c r="B119" s="123">
        <f>D109</f>
        <v>1.0073488084532374</v>
      </c>
      <c r="L119" s="98"/>
      <c r="T119" s="123">
        <f>V109</f>
        <v>0.98680804340682682</v>
      </c>
      <c r="AD119" s="98"/>
      <c r="AK119" s="123">
        <f>AM109</f>
        <v>1.0003251805913642</v>
      </c>
      <c r="AV119" s="98"/>
      <c r="BG119" s="130"/>
      <c r="BH119" s="123">
        <f>BJ109</f>
        <v>1.0026594566438758</v>
      </c>
      <c r="BI119" s="123"/>
      <c r="BJ119" s="123"/>
      <c r="BK119" s="123"/>
      <c r="BL119" s="123"/>
      <c r="BM119" s="123"/>
      <c r="BN119" s="123"/>
      <c r="BO119" s="123"/>
      <c r="BP119" s="123"/>
      <c r="BQ119" s="123"/>
      <c r="BR119" s="123"/>
      <c r="BS119" s="98"/>
      <c r="EC119" s="130"/>
      <c r="ED119" s="123">
        <f t="shared" si="429"/>
        <v>1.0140559409285452</v>
      </c>
      <c r="EE119" s="123"/>
      <c r="EF119" s="123"/>
      <c r="EG119" s="123"/>
      <c r="EH119" s="123"/>
      <c r="EI119" s="123"/>
      <c r="EJ119" s="123"/>
      <c r="EK119" s="123"/>
      <c r="EL119" s="123"/>
      <c r="EM119" s="123"/>
      <c r="EN119" s="98"/>
      <c r="EO119" s="130"/>
      <c r="EP119" s="123">
        <f t="shared" si="430"/>
        <v>1.0004505670434174</v>
      </c>
      <c r="EQ119" s="123"/>
      <c r="ER119" s="123"/>
      <c r="ES119" s="123"/>
      <c r="ET119" s="123"/>
      <c r="EU119" s="123"/>
      <c r="EV119" s="123"/>
      <c r="EW119" s="123"/>
      <c r="EX119" s="123"/>
      <c r="EY119" s="123"/>
      <c r="EZ119" s="98"/>
      <c r="FA119" s="130"/>
      <c r="FB119" s="123">
        <f t="shared" si="431"/>
        <v>1.0111417030474088</v>
      </c>
      <c r="FC119" s="123"/>
      <c r="FD119" s="123"/>
      <c r="FE119" s="123"/>
      <c r="FF119" s="123"/>
      <c r="FG119" s="123"/>
      <c r="FH119" s="123"/>
      <c r="FI119" s="123"/>
      <c r="FJ119" s="123"/>
      <c r="FK119" s="123"/>
      <c r="FL119" s="98"/>
    </row>
    <row r="120" spans="1:168" ht="15.75" thickBot="1">
      <c r="A120" s="130"/>
      <c r="B120" s="123">
        <f t="shared" ref="B120:B121" si="432">D110</f>
        <v>1.00634780575184</v>
      </c>
      <c r="L120" s="98"/>
      <c r="T120" s="123">
        <f t="shared" ref="T120:T121" si="433">V110</f>
        <v>0.98659040386211627</v>
      </c>
      <c r="AD120" s="98"/>
      <c r="AK120" s="123">
        <f t="shared" ref="AK120:AK121" si="434">AM110</f>
        <v>1.0003011696836659</v>
      </c>
      <c r="AV120" s="98"/>
      <c r="BG120" s="130"/>
      <c r="BH120" s="123">
        <f t="shared" ref="BH120:BH121" si="435">BJ110</f>
        <v>1.0022994224550033</v>
      </c>
      <c r="BI120" s="123"/>
      <c r="BJ120" s="123"/>
      <c r="BK120" s="123"/>
      <c r="BL120" s="123"/>
      <c r="BM120" s="123"/>
      <c r="BN120" s="123"/>
      <c r="BO120" s="123"/>
      <c r="BP120" s="123"/>
      <c r="BQ120" s="123"/>
      <c r="BR120" s="123"/>
      <c r="BS120" s="98"/>
      <c r="EC120" s="131" t="s">
        <v>170</v>
      </c>
      <c r="ED120" s="126">
        <f>VAR(ED114:ED119)</f>
        <v>5.1336695932609362E-4</v>
      </c>
      <c r="EE120" s="126"/>
      <c r="EF120" s="126"/>
      <c r="EG120" s="126"/>
      <c r="EH120" s="126"/>
      <c r="EI120" s="126"/>
      <c r="EJ120" s="126"/>
      <c r="EK120" s="126"/>
      <c r="EL120" s="126"/>
      <c r="EM120" s="126"/>
      <c r="EN120" s="127"/>
      <c r="EO120" s="131" t="s">
        <v>170</v>
      </c>
      <c r="EP120" s="126">
        <f>VAR(EP114:EP119)</f>
        <v>4.4778040164265758E-7</v>
      </c>
      <c r="EQ120" s="126"/>
      <c r="ER120" s="126"/>
      <c r="ES120" s="126"/>
      <c r="ET120" s="126"/>
      <c r="EU120" s="126"/>
      <c r="EV120" s="126"/>
      <c r="EW120" s="126"/>
      <c r="EX120" s="126"/>
      <c r="EY120" s="126"/>
      <c r="EZ120" s="127"/>
      <c r="FA120" s="131" t="s">
        <v>170</v>
      </c>
      <c r="FB120" s="126">
        <f>VAR(FB114:FB119)</f>
        <v>6.3202548084607491E-4</v>
      </c>
      <c r="FC120" s="126"/>
      <c r="FD120" s="126"/>
      <c r="FE120" s="126"/>
      <c r="FF120" s="126"/>
      <c r="FG120" s="126"/>
      <c r="FH120" s="126"/>
      <c r="FI120" s="126"/>
      <c r="FJ120" s="126"/>
      <c r="FK120" s="126"/>
      <c r="FL120" s="127"/>
    </row>
    <row r="121" spans="1:168" ht="15.75" thickTop="1">
      <c r="A121" s="130"/>
      <c r="B121" s="123">
        <f t="shared" si="432"/>
        <v>1.007398821121168</v>
      </c>
      <c r="L121" s="98"/>
      <c r="T121" s="123">
        <f t="shared" si="433"/>
        <v>0.98704498021072984</v>
      </c>
      <c r="AD121" s="98"/>
      <c r="AK121" s="123">
        <f t="shared" si="434"/>
        <v>1.0004086299740393</v>
      </c>
      <c r="AV121" s="98"/>
      <c r="BG121" s="130"/>
      <c r="BH121" s="123">
        <f t="shared" si="435"/>
        <v>1.0022612071077275</v>
      </c>
      <c r="BI121" s="123"/>
      <c r="BJ121" s="123"/>
      <c r="BK121" s="123"/>
      <c r="BL121" s="123"/>
      <c r="BM121" s="123"/>
      <c r="BN121" s="123"/>
      <c r="BO121" s="123"/>
      <c r="BP121" s="123"/>
      <c r="BQ121" s="123"/>
      <c r="BR121" s="123"/>
      <c r="BS121" s="98"/>
      <c r="FA121" s="128"/>
      <c r="FB121" s="121"/>
      <c r="FC121" s="121"/>
      <c r="FD121" s="121"/>
      <c r="FE121" s="121"/>
      <c r="FF121" s="133" t="s">
        <v>239</v>
      </c>
      <c r="FG121" s="121"/>
      <c r="FH121" s="121"/>
      <c r="FI121" s="129" t="s">
        <v>461</v>
      </c>
      <c r="FJ121" s="121"/>
      <c r="FK121" s="121"/>
      <c r="FL121" s="122"/>
    </row>
    <row r="122" spans="1:168" ht="15.75" thickBot="1">
      <c r="A122" s="131" t="s">
        <v>170</v>
      </c>
      <c r="B122" s="126">
        <f>VAR(B116:B121)</f>
        <v>1.7080461335388429E-6</v>
      </c>
      <c r="C122" s="126"/>
      <c r="D122" s="126"/>
      <c r="E122" s="126"/>
      <c r="F122" s="126"/>
      <c r="G122" s="126"/>
      <c r="H122" s="126"/>
      <c r="I122" s="126"/>
      <c r="J122" s="126"/>
      <c r="K122" s="126"/>
      <c r="L122" s="127"/>
      <c r="S122" s="131" t="s">
        <v>170</v>
      </c>
      <c r="T122" s="126">
        <f>VAR(T116:T121)</f>
        <v>6.5178389143813927E-6</v>
      </c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7"/>
      <c r="AJ122" s="131" t="s">
        <v>170</v>
      </c>
      <c r="AK122" s="126">
        <f>VAR(AK116:AK121)</f>
        <v>2.2113105894277649E-6</v>
      </c>
      <c r="AL122" s="126"/>
      <c r="AM122" s="126"/>
      <c r="AN122" s="126"/>
      <c r="AO122" s="126"/>
      <c r="AP122" s="126"/>
      <c r="AQ122" s="126"/>
      <c r="AR122" s="126"/>
      <c r="AS122" s="126"/>
      <c r="AT122" s="126"/>
      <c r="AU122" s="126"/>
      <c r="AV122" s="127"/>
      <c r="BG122" s="131" t="s">
        <v>170</v>
      </c>
      <c r="BH122" s="126">
        <f>VAR(BH116:BH121)</f>
        <v>3.2857671837287624E-7</v>
      </c>
      <c r="BI122" s="126"/>
      <c r="BJ122" s="126"/>
      <c r="BK122" s="126"/>
      <c r="BL122" s="126"/>
      <c r="BM122" s="126"/>
      <c r="BN122" s="126"/>
      <c r="BO122" s="126"/>
      <c r="BP122" s="126"/>
      <c r="BQ122" s="126"/>
      <c r="BR122" s="126"/>
      <c r="BS122" s="127"/>
      <c r="FA122" s="130" t="s">
        <v>167</v>
      </c>
      <c r="FB122" s="123"/>
      <c r="FC122" s="123"/>
      <c r="FD122" s="123"/>
      <c r="FE122" s="123"/>
      <c r="FF122" s="123"/>
      <c r="FG122" s="123"/>
      <c r="FH122" s="123" t="s">
        <v>168</v>
      </c>
      <c r="FI122" s="123"/>
      <c r="FJ122" s="123"/>
      <c r="FK122" s="123"/>
      <c r="FL122" s="98"/>
    </row>
    <row r="123" spans="1:168" ht="15.75" thickTop="1">
      <c r="A123" s="128"/>
      <c r="B123" s="121"/>
      <c r="C123" s="121"/>
      <c r="D123" s="121"/>
      <c r="E123" s="121"/>
      <c r="F123" s="133" t="s">
        <v>239</v>
      </c>
      <c r="G123" s="121"/>
      <c r="H123" s="121"/>
      <c r="I123" s="124" t="s">
        <v>179</v>
      </c>
      <c r="J123" s="121"/>
      <c r="K123" s="121"/>
      <c r="L123" s="122"/>
      <c r="S123" s="128"/>
      <c r="T123" s="121"/>
      <c r="U123" s="121"/>
      <c r="V123" s="121"/>
      <c r="W123" s="121"/>
      <c r="X123" s="133" t="s">
        <v>239</v>
      </c>
      <c r="Y123" s="121"/>
      <c r="Z123" s="121"/>
      <c r="AA123" s="124" t="s">
        <v>202</v>
      </c>
      <c r="AB123" s="121"/>
      <c r="AC123" s="121"/>
      <c r="AD123" s="122"/>
      <c r="AJ123" s="128"/>
      <c r="AK123" s="121"/>
      <c r="AL123" s="121"/>
      <c r="AM123" s="121"/>
      <c r="AN123" s="121"/>
      <c r="AO123" s="133" t="s">
        <v>239</v>
      </c>
      <c r="AP123" s="121"/>
      <c r="AQ123" s="121"/>
      <c r="AR123" s="124" t="s">
        <v>207</v>
      </c>
      <c r="AS123" s="121"/>
      <c r="AT123" s="121"/>
      <c r="AU123" s="121"/>
      <c r="AV123" s="122"/>
      <c r="BG123" s="128"/>
      <c r="BH123" s="121"/>
      <c r="BI123" s="121"/>
      <c r="BJ123" s="121"/>
      <c r="BK123" s="121"/>
      <c r="BL123" s="133" t="s">
        <v>239</v>
      </c>
      <c r="BM123" s="121"/>
      <c r="BN123" s="121"/>
      <c r="BO123" s="124" t="s">
        <v>191</v>
      </c>
      <c r="BP123" s="121"/>
      <c r="BQ123" s="121"/>
      <c r="BR123" s="121"/>
      <c r="BS123" s="122"/>
      <c r="FA123" s="1"/>
      <c r="FB123" s="2" t="s">
        <v>0</v>
      </c>
      <c r="FC123" s="2" t="s">
        <v>1</v>
      </c>
      <c r="FD123" s="2" t="s">
        <v>2</v>
      </c>
      <c r="FE123" s="3" t="s">
        <v>6</v>
      </c>
      <c r="FF123" s="103" t="s">
        <v>70</v>
      </c>
      <c r="FG123" s="103" t="s">
        <v>172</v>
      </c>
      <c r="FH123" s="123" t="s">
        <v>3</v>
      </c>
      <c r="FI123" s="123">
        <v>1000</v>
      </c>
      <c r="FJ123" s="123"/>
      <c r="FK123" s="123" t="s">
        <v>19</v>
      </c>
      <c r="FL123" s="123">
        <v>2.38493E-2</v>
      </c>
    </row>
    <row r="124" spans="1:168" ht="15.75" thickBot="1">
      <c r="A124" s="130" t="s">
        <v>167</v>
      </c>
      <c r="H124" s="123" t="s">
        <v>168</v>
      </c>
      <c r="L124" s="98"/>
      <c r="S124" s="130" t="s">
        <v>167</v>
      </c>
      <c r="Z124" s="123" t="s">
        <v>168</v>
      </c>
      <c r="AD124" s="98"/>
      <c r="AJ124" s="130" t="s">
        <v>167</v>
      </c>
      <c r="AQ124" s="123" t="s">
        <v>168</v>
      </c>
      <c r="AV124" s="98"/>
      <c r="BG124" s="130" t="s">
        <v>167</v>
      </c>
      <c r="BH124" s="123"/>
      <c r="BI124" s="123"/>
      <c r="BJ124" s="123"/>
      <c r="BK124" s="123"/>
      <c r="BL124" s="123"/>
      <c r="BM124" s="123"/>
      <c r="BN124" s="123" t="s">
        <v>168</v>
      </c>
      <c r="BO124" s="123"/>
      <c r="BP124" s="123"/>
      <c r="BQ124" s="123"/>
      <c r="BR124" s="123"/>
      <c r="BS124" s="98"/>
      <c r="FA124" s="4" t="s">
        <v>3</v>
      </c>
      <c r="FB124" s="100">
        <f>6.5968*10^7</f>
        <v>65968000</v>
      </c>
      <c r="FC124" s="5">
        <f>4.74547*10^6</f>
        <v>4745470</v>
      </c>
      <c r="FD124" s="5">
        <f>1.75107*10^6</f>
        <v>1751070</v>
      </c>
      <c r="FE124" s="104">
        <f>SUM(FB124:FD124)</f>
        <v>72464540</v>
      </c>
      <c r="FF124" s="123">
        <f>FD124/FC124</f>
        <v>0.36899822356900369</v>
      </c>
      <c r="FG124" s="123">
        <f>FB124/FC124</f>
        <v>13.901257409698092</v>
      </c>
      <c r="FH124" s="123" t="s">
        <v>4</v>
      </c>
      <c r="FI124" s="123">
        <v>1600</v>
      </c>
      <c r="FJ124" s="123"/>
      <c r="FK124" s="123"/>
      <c r="FL124" s="98"/>
    </row>
    <row r="125" spans="1:168" ht="15.75" thickTop="1">
      <c r="A125" s="1"/>
      <c r="B125" s="2" t="s">
        <v>0</v>
      </c>
      <c r="C125" s="2" t="s">
        <v>1</v>
      </c>
      <c r="D125" s="2" t="s">
        <v>2</v>
      </c>
      <c r="E125" s="3" t="s">
        <v>6</v>
      </c>
      <c r="F125" s="103" t="s">
        <v>70</v>
      </c>
      <c r="G125" s="103" t="s">
        <v>172</v>
      </c>
      <c r="H125" s="123" t="s">
        <v>3</v>
      </c>
      <c r="I125" s="123">
        <v>6</v>
      </c>
      <c r="K125" s="123" t="s">
        <v>19</v>
      </c>
      <c r="L125" s="98">
        <v>0.16899400000000001</v>
      </c>
      <c r="S125" s="1"/>
      <c r="T125" s="2" t="s">
        <v>0</v>
      </c>
      <c r="U125" s="2" t="s">
        <v>1</v>
      </c>
      <c r="V125" s="2" t="s">
        <v>2</v>
      </c>
      <c r="W125" s="3" t="s">
        <v>6</v>
      </c>
      <c r="X125" s="103" t="s">
        <v>70</v>
      </c>
      <c r="Y125" s="103" t="s">
        <v>172</v>
      </c>
      <c r="Z125" s="123" t="s">
        <v>3</v>
      </c>
      <c r="AA125" s="123">
        <v>12</v>
      </c>
      <c r="AC125" s="123" t="s">
        <v>19</v>
      </c>
      <c r="AD125" s="98">
        <v>0.27151799999999998</v>
      </c>
      <c r="AJ125" s="1"/>
      <c r="AK125" s="2" t="s">
        <v>0</v>
      </c>
      <c r="AL125" s="2" t="s">
        <v>1</v>
      </c>
      <c r="AM125" s="2" t="s">
        <v>2</v>
      </c>
      <c r="AN125" s="3" t="s">
        <v>6</v>
      </c>
      <c r="AO125" s="103" t="s">
        <v>70</v>
      </c>
      <c r="AP125" s="103" t="s">
        <v>172</v>
      </c>
      <c r="AQ125" s="123" t="s">
        <v>3</v>
      </c>
      <c r="AR125" s="123">
        <v>20</v>
      </c>
      <c r="AT125" s="123" t="s">
        <v>19</v>
      </c>
      <c r="AU125" s="123">
        <v>9.4791399999999998E-2</v>
      </c>
      <c r="AV125" s="98"/>
      <c r="BG125" s="1"/>
      <c r="BH125" s="2" t="s">
        <v>0</v>
      </c>
      <c r="BI125" s="2" t="s">
        <v>1</v>
      </c>
      <c r="BJ125" s="2" t="s">
        <v>2</v>
      </c>
      <c r="BK125" s="3" t="s">
        <v>6</v>
      </c>
      <c r="BL125" s="103" t="s">
        <v>70</v>
      </c>
      <c r="BM125" s="103" t="s">
        <v>172</v>
      </c>
      <c r="BN125" s="123" t="s">
        <v>3</v>
      </c>
      <c r="BO125" s="123">
        <v>30</v>
      </c>
      <c r="BP125" s="123"/>
      <c r="BQ125" s="123" t="s">
        <v>19</v>
      </c>
      <c r="BR125" s="123">
        <v>0.47693999999999998</v>
      </c>
      <c r="BS125" s="98"/>
      <c r="FA125" s="4" t="s">
        <v>4</v>
      </c>
      <c r="FB125" s="5">
        <f>4.76334*10^6</f>
        <v>4763340</v>
      </c>
      <c r="FC125" s="5">
        <v>143688</v>
      </c>
      <c r="FD125" s="5">
        <v>53020.6</v>
      </c>
      <c r="FE125" s="106">
        <f t="shared" ref="FE125:FE127" si="436">SUM(FB125:FD125)</f>
        <v>4960048.5999999996</v>
      </c>
      <c r="FF125" s="123">
        <f t="shared" ref="FF125:FF127" si="437">FD125/FC125</f>
        <v>0.36899810700963198</v>
      </c>
      <c r="FG125" s="123">
        <f t="shared" ref="FG125:FG127" si="438">FB125/FC125</f>
        <v>33.150576248538499</v>
      </c>
      <c r="FH125" s="123" t="s">
        <v>5</v>
      </c>
      <c r="FI125" s="123">
        <v>800</v>
      </c>
      <c r="FJ125" s="123"/>
      <c r="FK125" s="123"/>
      <c r="FL125" s="98"/>
    </row>
    <row r="126" spans="1:168">
      <c r="A126" s="4" t="s">
        <v>3</v>
      </c>
      <c r="B126" s="100">
        <v>539.98099999999999</v>
      </c>
      <c r="C126" s="5">
        <v>874.00699999999995</v>
      </c>
      <c r="D126" s="5">
        <v>225.14699999999999</v>
      </c>
      <c r="E126" s="104">
        <f>SUM(B126:D126)</f>
        <v>1639.1349999999998</v>
      </c>
      <c r="F126" s="123">
        <f>D126/C126</f>
        <v>0.25760319997437092</v>
      </c>
      <c r="G126" s="123">
        <f>B126/C126</f>
        <v>0.61782228288789454</v>
      </c>
      <c r="H126" s="123" t="s">
        <v>4</v>
      </c>
      <c r="I126" s="123">
        <v>12</v>
      </c>
      <c r="L126" s="98"/>
      <c r="S126" s="4" t="s">
        <v>3</v>
      </c>
      <c r="T126" s="100">
        <v>408.28899999999999</v>
      </c>
      <c r="U126" s="5">
        <v>616.85</v>
      </c>
      <c r="V126" s="5">
        <v>275.62099999999998</v>
      </c>
      <c r="W126" s="104">
        <f>SUM(T126:V126)</f>
        <v>1300.7600000000002</v>
      </c>
      <c r="X126" s="123">
        <f>V126/U126</f>
        <v>0.44682013455459185</v>
      </c>
      <c r="Y126" s="123">
        <f>T126/U126</f>
        <v>0.66189349112426032</v>
      </c>
      <c r="Z126" s="123" t="s">
        <v>4</v>
      </c>
      <c r="AA126" s="123">
        <v>20</v>
      </c>
      <c r="AD126" s="98"/>
      <c r="AJ126" s="4" t="s">
        <v>3</v>
      </c>
      <c r="AK126" s="100">
        <v>1900.32</v>
      </c>
      <c r="AL126" s="5">
        <v>3996.98</v>
      </c>
      <c r="AM126" s="5">
        <v>562.13</v>
      </c>
      <c r="AN126" s="104">
        <f>SUM(AK126:AM126)</f>
        <v>6459.43</v>
      </c>
      <c r="AO126" s="123">
        <f>AM126/AL126</f>
        <v>0.14063868220506481</v>
      </c>
      <c r="AP126" s="123">
        <f>AK126/AL126</f>
        <v>0.47543895641209111</v>
      </c>
      <c r="AQ126" s="123" t="s">
        <v>4</v>
      </c>
      <c r="AR126" s="123">
        <v>40</v>
      </c>
      <c r="AV126" s="98"/>
      <c r="BG126" s="4" t="s">
        <v>3</v>
      </c>
      <c r="BH126" s="100">
        <v>289.07100000000003</v>
      </c>
      <c r="BI126" s="5">
        <v>582.83799999999997</v>
      </c>
      <c r="BJ126" s="5">
        <v>413.33600000000001</v>
      </c>
      <c r="BK126" s="104">
        <f>SUM(BH126:BJ126)</f>
        <v>1285.2449999999999</v>
      </c>
      <c r="BL126" s="123">
        <f>BJ126/BI126</f>
        <v>0.70917819359753487</v>
      </c>
      <c r="BM126" s="123">
        <f>BH126/BI126</f>
        <v>0.49597143631678109</v>
      </c>
      <c r="BN126" s="123" t="s">
        <v>4</v>
      </c>
      <c r="BO126" s="123">
        <v>60</v>
      </c>
      <c r="BP126" s="123"/>
      <c r="BQ126" s="123"/>
      <c r="BR126" s="123"/>
      <c r="BS126" s="98"/>
      <c r="FA126" s="4" t="s">
        <v>5</v>
      </c>
      <c r="FB126" s="5">
        <f>1.7332*10^6</f>
        <v>1733200</v>
      </c>
      <c r="FC126" s="5">
        <v>70890.2</v>
      </c>
      <c r="FD126" s="5">
        <v>26158.3</v>
      </c>
      <c r="FE126" s="108">
        <f t="shared" si="436"/>
        <v>1830248.5</v>
      </c>
      <c r="FF126" s="123">
        <f t="shared" si="437"/>
        <v>0.36899740725798491</v>
      </c>
      <c r="FG126" s="123">
        <f t="shared" si="438"/>
        <v>24.449077587593209</v>
      </c>
      <c r="FH126" s="85" t="s">
        <v>49</v>
      </c>
      <c r="FI126" s="124">
        <f>FI123+FI124+FI125</f>
        <v>3400</v>
      </c>
      <c r="FJ126" s="123" t="s">
        <v>457</v>
      </c>
      <c r="FK126" s="123"/>
      <c r="FL126" s="98"/>
    </row>
    <row r="127" spans="1:168" ht="15.75" thickBot="1">
      <c r="A127" s="4" t="s">
        <v>4</v>
      </c>
      <c r="B127" s="5">
        <v>912.86099999999999</v>
      </c>
      <c r="C127" s="5">
        <v>1913.29</v>
      </c>
      <c r="D127" s="5">
        <v>492.86799999999999</v>
      </c>
      <c r="E127" s="106">
        <f t="shared" ref="E127:E129" si="439">SUM(B127:D127)</f>
        <v>3319.0189999999998</v>
      </c>
      <c r="F127" s="123">
        <f t="shared" ref="F127:F129" si="440">D127/C127</f>
        <v>0.25760234987900421</v>
      </c>
      <c r="G127" s="123">
        <f t="shared" ref="G127:G129" si="441">B127/C127</f>
        <v>0.47711585802465911</v>
      </c>
      <c r="H127" s="123" t="s">
        <v>5</v>
      </c>
      <c r="I127" s="123">
        <v>4</v>
      </c>
      <c r="L127" s="98"/>
      <c r="S127" s="4" t="s">
        <v>4</v>
      </c>
      <c r="T127" s="5">
        <v>623.65300000000002</v>
      </c>
      <c r="U127" s="5">
        <v>980.18499999999995</v>
      </c>
      <c r="V127" s="5">
        <v>437.96699999999998</v>
      </c>
      <c r="W127" s="106">
        <f t="shared" ref="W127:W129" si="442">SUM(T127:V127)</f>
        <v>2041.8049999999998</v>
      </c>
      <c r="X127" s="123">
        <f t="shared" ref="X127:X129" si="443">V127/U127</f>
        <v>0.44682075322515646</v>
      </c>
      <c r="Y127" s="123">
        <f t="shared" ref="Y127:Y129" si="444">T127/U127</f>
        <v>0.63626050184403971</v>
      </c>
      <c r="Z127" s="123" t="s">
        <v>5</v>
      </c>
      <c r="AA127" s="123">
        <v>8</v>
      </c>
      <c r="AD127" s="98"/>
      <c r="AJ127" s="4" t="s">
        <v>4</v>
      </c>
      <c r="AK127" s="5">
        <v>4002.12</v>
      </c>
      <c r="AL127" s="5">
        <v>8202.2900000000009</v>
      </c>
      <c r="AM127" s="5">
        <v>1153.56</v>
      </c>
      <c r="AN127" s="106">
        <f t="shared" ref="AN127:AN129" si="445">SUM(AK127:AM127)</f>
        <v>13357.97</v>
      </c>
      <c r="AO127" s="123">
        <f t="shared" ref="AO127:AO129" si="446">AM127/AL127</f>
        <v>0.14063877283051437</v>
      </c>
      <c r="AP127" s="123">
        <f t="shared" ref="AP127:AP129" si="447">AK127/AL127</f>
        <v>0.48792715205143922</v>
      </c>
      <c r="AQ127" s="123" t="s">
        <v>5</v>
      </c>
      <c r="AR127" s="123">
        <v>15</v>
      </c>
      <c r="AV127" s="98"/>
      <c r="BG127" s="4" t="s">
        <v>4</v>
      </c>
      <c r="BH127" s="5">
        <v>577.27099999999996</v>
      </c>
      <c r="BI127" s="5">
        <v>1197.5999999999999</v>
      </c>
      <c r="BJ127" s="5">
        <v>849.30899999999997</v>
      </c>
      <c r="BK127" s="106">
        <f t="shared" ref="BK127:BK129" si="448">SUM(BH127:BJ127)</f>
        <v>2624.18</v>
      </c>
      <c r="BL127" s="123">
        <f t="shared" ref="BL127:BL129" si="449">BJ127/BI127</f>
        <v>0.7091758517034068</v>
      </c>
      <c r="BM127" s="123">
        <f t="shared" ref="BM127:BM129" si="450">BH127/BI127</f>
        <v>0.4820232130928524</v>
      </c>
      <c r="BN127" s="123" t="s">
        <v>5</v>
      </c>
      <c r="BO127" s="123">
        <v>25</v>
      </c>
      <c r="BP127" s="123"/>
      <c r="BQ127" s="123"/>
      <c r="BR127" s="123"/>
      <c r="BS127" s="98"/>
      <c r="FA127" s="7"/>
      <c r="FB127" s="105">
        <f>SUM(FB124:FB126)</f>
        <v>72464540</v>
      </c>
      <c r="FC127" s="107">
        <f>SUM(FC124:FC126)</f>
        <v>4960048.2</v>
      </c>
      <c r="FD127" s="109">
        <f>SUM(FD124:FD126)</f>
        <v>1830248.9000000001</v>
      </c>
      <c r="FE127" s="101">
        <f t="shared" si="436"/>
        <v>79254837.100000009</v>
      </c>
      <c r="FF127" s="123">
        <f t="shared" si="437"/>
        <v>0.3689982085254736</v>
      </c>
      <c r="FG127" s="123">
        <f t="shared" si="438"/>
        <v>14.609644317569332</v>
      </c>
      <c r="FH127" s="123"/>
      <c r="FI127" s="123"/>
      <c r="FJ127" s="123"/>
      <c r="FK127" s="123"/>
      <c r="FL127" s="98"/>
    </row>
    <row r="128" spans="1:168" ht="15.75" thickTop="1">
      <c r="A128" s="4" t="s">
        <v>5</v>
      </c>
      <c r="B128" s="5">
        <v>186.29300000000001</v>
      </c>
      <c r="C128" s="5">
        <v>531.72199999999998</v>
      </c>
      <c r="D128" s="5">
        <v>136.97300000000001</v>
      </c>
      <c r="E128" s="108">
        <f t="shared" si="439"/>
        <v>854.98800000000006</v>
      </c>
      <c r="F128" s="123">
        <f t="shared" si="440"/>
        <v>0.25760265702754448</v>
      </c>
      <c r="G128" s="123">
        <f t="shared" si="441"/>
        <v>0.35035789378660281</v>
      </c>
      <c r="L128" s="98"/>
      <c r="S128" s="4" t="s">
        <v>5</v>
      </c>
      <c r="T128" s="5">
        <v>268.81799999999998</v>
      </c>
      <c r="U128" s="5">
        <v>444.77</v>
      </c>
      <c r="V128" s="5">
        <v>198.732</v>
      </c>
      <c r="W128" s="108">
        <f t="shared" si="442"/>
        <v>912.31999999999994</v>
      </c>
      <c r="X128" s="123">
        <f t="shared" si="443"/>
        <v>0.44681970456640513</v>
      </c>
      <c r="Y128" s="123">
        <f t="shared" si="444"/>
        <v>0.6043977786271556</v>
      </c>
      <c r="AD128" s="98"/>
      <c r="AJ128" s="4" t="s">
        <v>5</v>
      </c>
      <c r="AK128" s="5">
        <v>556.98599999999999</v>
      </c>
      <c r="AL128" s="5">
        <v>1158.7</v>
      </c>
      <c r="AM128" s="5">
        <v>162.958</v>
      </c>
      <c r="AN128" s="108">
        <f t="shared" si="445"/>
        <v>1878.6440000000002</v>
      </c>
      <c r="AO128" s="123">
        <f t="shared" si="446"/>
        <v>0.14063864675929921</v>
      </c>
      <c r="AP128" s="123">
        <f t="shared" si="447"/>
        <v>0.48069905929058426</v>
      </c>
      <c r="AV128" s="98"/>
      <c r="BG128" s="4" t="s">
        <v>5</v>
      </c>
      <c r="BH128" s="5">
        <v>418.90300000000002</v>
      </c>
      <c r="BI128" s="5">
        <v>843.74199999999996</v>
      </c>
      <c r="BJ128" s="5">
        <v>598.36300000000006</v>
      </c>
      <c r="BK128" s="108">
        <f t="shared" si="448"/>
        <v>1861.008</v>
      </c>
      <c r="BL128" s="123">
        <f t="shared" si="449"/>
        <v>0.7091776870180696</v>
      </c>
      <c r="BM128" s="123">
        <f t="shared" si="450"/>
        <v>0.49648233701771399</v>
      </c>
      <c r="BN128" s="123"/>
      <c r="BO128" s="123"/>
      <c r="BP128" s="123"/>
      <c r="BQ128" s="123"/>
      <c r="BR128" s="123"/>
      <c r="BS128" s="98"/>
      <c r="FA128" s="130"/>
      <c r="FB128" s="123"/>
      <c r="FC128" s="123"/>
      <c r="FD128" s="123"/>
      <c r="FE128" s="123"/>
      <c r="FF128" s="124" t="s">
        <v>420</v>
      </c>
      <c r="FG128" s="103">
        <f>AVERAGE(FG124:FG126)</f>
        <v>23.833637081943266</v>
      </c>
      <c r="FH128" s="123"/>
      <c r="FI128" s="123"/>
      <c r="FJ128" s="123"/>
      <c r="FK128" s="123"/>
      <c r="FL128" s="98"/>
    </row>
    <row r="129" spans="1:168" ht="15.75" thickBot="1">
      <c r="A129" s="7"/>
      <c r="B129" s="105">
        <f>SUM(B126:B128)</f>
        <v>1639.1350000000002</v>
      </c>
      <c r="C129" s="107">
        <f>SUM(C126:C128)</f>
        <v>3319.0190000000002</v>
      </c>
      <c r="D129" s="109">
        <f>SUM(D126:D128)</f>
        <v>854.98800000000006</v>
      </c>
      <c r="E129" s="101">
        <f t="shared" si="439"/>
        <v>5813.1420000000007</v>
      </c>
      <c r="F129" s="123">
        <f t="shared" si="440"/>
        <v>0.25760262294370717</v>
      </c>
      <c r="G129" s="123">
        <f t="shared" si="441"/>
        <v>0.49386128853134015</v>
      </c>
      <c r="L129" s="98"/>
      <c r="S129" s="7"/>
      <c r="T129" s="105">
        <f>SUM(T126:T128)</f>
        <v>1300.76</v>
      </c>
      <c r="U129" s="107">
        <f>SUM(U126:U128)</f>
        <v>2041.8049999999998</v>
      </c>
      <c r="V129" s="109">
        <f>SUM(V126:V128)</f>
        <v>912.31999999999994</v>
      </c>
      <c r="W129" s="101">
        <f t="shared" si="442"/>
        <v>4254.8849999999993</v>
      </c>
      <c r="X129" s="123">
        <f t="shared" si="443"/>
        <v>0.44682033788731051</v>
      </c>
      <c r="Y129" s="123">
        <f t="shared" si="444"/>
        <v>0.6370637744544656</v>
      </c>
      <c r="AD129" s="98"/>
      <c r="AJ129" s="7"/>
      <c r="AK129" s="105">
        <f>SUM(AK126:AK128)</f>
        <v>6459.4259999999995</v>
      </c>
      <c r="AL129" s="107">
        <f>SUM(AL126:AL128)</f>
        <v>13357.970000000001</v>
      </c>
      <c r="AM129" s="109">
        <f>SUM(AM126:AM128)</f>
        <v>1878.6480000000001</v>
      </c>
      <c r="AN129" s="101">
        <f t="shared" si="445"/>
        <v>21696.044000000002</v>
      </c>
      <c r="AO129" s="123">
        <f t="shared" si="446"/>
        <v>0.1406387347778143</v>
      </c>
      <c r="AP129" s="123">
        <f t="shared" si="447"/>
        <v>0.4835634456433125</v>
      </c>
      <c r="AV129" s="98"/>
      <c r="BG129" s="7"/>
      <c r="BH129" s="105">
        <f>SUM(BH126:BH128)</f>
        <v>1285.2449999999999</v>
      </c>
      <c r="BI129" s="107">
        <f>SUM(BI126:BI128)</f>
        <v>2624.18</v>
      </c>
      <c r="BJ129" s="109">
        <f>SUM(BJ126:BJ128)</f>
        <v>1861.008</v>
      </c>
      <c r="BK129" s="101">
        <f t="shared" si="448"/>
        <v>5770.433</v>
      </c>
      <c r="BL129" s="123">
        <f t="shared" si="449"/>
        <v>0.70917696194620805</v>
      </c>
      <c r="BM129" s="123">
        <f t="shared" si="450"/>
        <v>0.4897701377192113</v>
      </c>
      <c r="BN129" s="123"/>
      <c r="BO129" s="123"/>
      <c r="BP129" s="123"/>
      <c r="BQ129" s="123"/>
      <c r="BR129" s="123"/>
      <c r="BS129" s="98"/>
      <c r="FA129" s="130"/>
      <c r="FB129" s="123"/>
      <c r="FC129" s="123"/>
      <c r="FD129" s="123"/>
      <c r="FE129" s="123"/>
      <c r="FF129" s="123"/>
      <c r="FG129" s="123"/>
      <c r="FH129" s="123"/>
      <c r="FI129" s="123"/>
      <c r="FJ129" s="123" t="s">
        <v>419</v>
      </c>
      <c r="FK129" s="123">
        <v>1.4E-2</v>
      </c>
      <c r="FL129" s="98"/>
    </row>
    <row r="130" spans="1:168" ht="16.5" thickTop="1" thickBot="1">
      <c r="A130" s="130"/>
      <c r="F130" s="124" t="s">
        <v>420</v>
      </c>
      <c r="G130" s="103">
        <f>AVERAGE(G126:G128)</f>
        <v>0.48176534489971878</v>
      </c>
      <c r="I130" s="123">
        <v>642.80893587910396</v>
      </c>
      <c r="J130" s="123">
        <v>363.52162635815301</v>
      </c>
      <c r="K130" s="123">
        <v>38.9388805822935</v>
      </c>
      <c r="L130" s="98"/>
      <c r="X130" s="124" t="s">
        <v>420</v>
      </c>
      <c r="Y130" s="103">
        <f>AVERAGE(Y126:Y128)</f>
        <v>0.63418392386515199</v>
      </c>
      <c r="AD130" s="98"/>
      <c r="AO130" s="124" t="s">
        <v>420</v>
      </c>
      <c r="AP130" s="103">
        <f>AVERAGE(AP126:AP128)</f>
        <v>0.48135505591803818</v>
      </c>
      <c r="AV130" s="98"/>
      <c r="BG130" s="130"/>
      <c r="BH130" s="123"/>
      <c r="BI130" s="123"/>
      <c r="BJ130" s="123"/>
      <c r="BK130" s="123"/>
      <c r="BL130" s="124" t="s">
        <v>420</v>
      </c>
      <c r="BM130" s="103">
        <f>AVERAGE(BM126:BM128)</f>
        <v>0.49149232880911581</v>
      </c>
      <c r="BN130" s="123"/>
      <c r="BO130" s="123"/>
      <c r="BP130" s="123"/>
      <c r="BQ130" s="123"/>
      <c r="BR130" s="123"/>
      <c r="BS130" s="98"/>
      <c r="FA130" s="140" t="s">
        <v>254</v>
      </c>
      <c r="FB130" s="123"/>
      <c r="FC130" s="123"/>
      <c r="FD130" s="123"/>
      <c r="FE130" s="123"/>
      <c r="FF130" s="123"/>
      <c r="FG130" s="123"/>
      <c r="FH130" s="123"/>
      <c r="FI130" s="123"/>
      <c r="FJ130" s="124" t="s">
        <v>218</v>
      </c>
      <c r="FK130" s="123"/>
      <c r="FL130" s="98"/>
    </row>
    <row r="131" spans="1:168" ht="15.75" thickTop="1">
      <c r="A131" s="130"/>
      <c r="L131" s="98"/>
      <c r="AD131" s="98"/>
      <c r="AV131" s="98"/>
      <c r="BG131" s="130"/>
      <c r="BH131" s="123"/>
      <c r="BI131" s="123"/>
      <c r="BJ131" s="123"/>
      <c r="BK131" s="123"/>
      <c r="BL131" s="123"/>
      <c r="BM131" s="123"/>
      <c r="BN131" s="123"/>
      <c r="BO131" s="123"/>
      <c r="BP131" s="123"/>
      <c r="BQ131" s="123"/>
      <c r="BR131" s="123"/>
      <c r="BS131" s="98"/>
      <c r="FA131" s="1"/>
      <c r="FB131" s="2" t="s">
        <v>8</v>
      </c>
      <c r="FC131" s="2" t="s">
        <v>9</v>
      </c>
      <c r="FD131" s="2" t="s">
        <v>10</v>
      </c>
      <c r="FE131" s="3" t="s">
        <v>11</v>
      </c>
      <c r="FF131" s="103" t="s">
        <v>16</v>
      </c>
      <c r="FG131" s="103" t="s">
        <v>172</v>
      </c>
      <c r="FH131" s="124" t="s">
        <v>171</v>
      </c>
      <c r="FI131" s="123"/>
      <c r="FJ131" s="123">
        <f>0.13*FK129</f>
        <v>1.82E-3</v>
      </c>
      <c r="FK131" s="103" t="s">
        <v>212</v>
      </c>
      <c r="FL131" s="98"/>
    </row>
    <row r="132" spans="1:168" ht="15.75" thickBot="1">
      <c r="A132" s="140" t="s">
        <v>254</v>
      </c>
      <c r="J132" s="124" t="s">
        <v>218</v>
      </c>
      <c r="L132" s="98"/>
      <c r="S132" s="140" t="s">
        <v>254</v>
      </c>
      <c r="AB132" s="124" t="s">
        <v>218</v>
      </c>
      <c r="AD132" s="98"/>
      <c r="AJ132" s="140" t="s">
        <v>254</v>
      </c>
      <c r="AT132" s="124" t="s">
        <v>218</v>
      </c>
      <c r="AV132" s="98"/>
      <c r="BG132" s="140" t="s">
        <v>254</v>
      </c>
      <c r="BH132" s="123"/>
      <c r="BI132" s="123"/>
      <c r="BJ132" s="123"/>
      <c r="BK132" s="123"/>
      <c r="BL132" s="123"/>
      <c r="BM132" s="123"/>
      <c r="BN132" s="123"/>
      <c r="BO132" s="123"/>
      <c r="BP132" s="123"/>
      <c r="BQ132" s="124" t="s">
        <v>218</v>
      </c>
      <c r="BR132" s="123"/>
      <c r="BS132" s="98"/>
      <c r="FA132" s="4" t="s">
        <v>3</v>
      </c>
      <c r="FB132" s="100">
        <f>6.5331*10^7</f>
        <v>65331000</v>
      </c>
      <c r="FC132" s="5">
        <f>4.76212*10^6</f>
        <v>4762120</v>
      </c>
      <c r="FD132" s="5">
        <f>1.67167*10^6</f>
        <v>1671670</v>
      </c>
      <c r="FE132" s="110">
        <f>SUM(FB132:FD132)</f>
        <v>71764790</v>
      </c>
      <c r="FF132" s="123">
        <f>FD132/(FB132+FC132)</f>
        <v>2.3849273651964702E-2</v>
      </c>
      <c r="FG132" s="123">
        <f>FB132/FC132</f>
        <v>13.718889906176241</v>
      </c>
      <c r="FH132" s="125">
        <f>ABS((FE135-FE127)/FE127)</f>
        <v>8.609566620382491E-3</v>
      </c>
      <c r="FI132" s="123"/>
      <c r="FJ132" s="123">
        <f>0.307*FK129</f>
        <v>4.2979999999999997E-3</v>
      </c>
      <c r="FK132" s="123" t="s">
        <v>213</v>
      </c>
      <c r="FL132" s="98"/>
    </row>
    <row r="133" spans="1:168" ht="15.75" thickTop="1">
      <c r="A133" s="1"/>
      <c r="B133" s="2" t="s">
        <v>8</v>
      </c>
      <c r="C133" s="2" t="s">
        <v>9</v>
      </c>
      <c r="D133" s="2" t="s">
        <v>10</v>
      </c>
      <c r="E133" s="3" t="s">
        <v>11</v>
      </c>
      <c r="F133" s="103" t="s">
        <v>16</v>
      </c>
      <c r="G133" s="103" t="s">
        <v>172</v>
      </c>
      <c r="H133" s="124" t="s">
        <v>171</v>
      </c>
      <c r="J133" s="123">
        <v>0.1</v>
      </c>
      <c r="K133" s="103" t="s">
        <v>212</v>
      </c>
      <c r="L133" s="98" t="s">
        <v>240</v>
      </c>
      <c r="S133" s="1"/>
      <c r="T133" s="2" t="s">
        <v>8</v>
      </c>
      <c r="U133" s="2" t="s">
        <v>9</v>
      </c>
      <c r="V133" s="2" t="s">
        <v>10</v>
      </c>
      <c r="W133" s="3" t="s">
        <v>11</v>
      </c>
      <c r="X133" s="103" t="s">
        <v>16</v>
      </c>
      <c r="Y133" s="103" t="s">
        <v>172</v>
      </c>
      <c r="Z133" s="124" t="s">
        <v>171</v>
      </c>
      <c r="AB133" s="123">
        <v>0.05</v>
      </c>
      <c r="AC133" s="103" t="s">
        <v>212</v>
      </c>
      <c r="AD133" s="98" t="s">
        <v>240</v>
      </c>
      <c r="AJ133" s="1"/>
      <c r="AK133" s="2" t="s">
        <v>8</v>
      </c>
      <c r="AL133" s="2" t="s">
        <v>9</v>
      </c>
      <c r="AM133" s="2" t="s">
        <v>10</v>
      </c>
      <c r="AN133" s="3" t="s">
        <v>11</v>
      </c>
      <c r="AO133" s="103" t="s">
        <v>16</v>
      </c>
      <c r="AP133" s="103" t="s">
        <v>172</v>
      </c>
      <c r="AQ133" s="124" t="s">
        <v>171</v>
      </c>
      <c r="AT133" s="123">
        <v>0.03</v>
      </c>
      <c r="AU133" s="103" t="s">
        <v>212</v>
      </c>
      <c r="AV133" s="98" t="s">
        <v>240</v>
      </c>
      <c r="BG133" s="1"/>
      <c r="BH133" s="2" t="s">
        <v>8</v>
      </c>
      <c r="BI133" s="2" t="s">
        <v>9</v>
      </c>
      <c r="BJ133" s="2" t="s">
        <v>10</v>
      </c>
      <c r="BK133" s="3" t="s">
        <v>11</v>
      </c>
      <c r="BL133" s="103" t="s">
        <v>16</v>
      </c>
      <c r="BM133" s="103" t="s">
        <v>172</v>
      </c>
      <c r="BN133" s="124" t="s">
        <v>171</v>
      </c>
      <c r="BO133" s="123"/>
      <c r="BP133" s="123"/>
      <c r="BQ133" s="123">
        <v>1.4999999999999999E-2</v>
      </c>
      <c r="BR133" s="103" t="s">
        <v>212</v>
      </c>
      <c r="BS133" s="98" t="s">
        <v>240</v>
      </c>
      <c r="FA133" s="4" t="s">
        <v>4</v>
      </c>
      <c r="FB133" s="5">
        <f>4.71732*10^6</f>
        <v>4717320</v>
      </c>
      <c r="FC133" s="5">
        <v>144192</v>
      </c>
      <c r="FD133" s="5">
        <v>115943</v>
      </c>
      <c r="FE133" s="112">
        <f t="shared" ref="FE133:FE134" si="451">SUM(FB133:FD133)</f>
        <v>4977455</v>
      </c>
      <c r="FF133" s="123">
        <f t="shared" ref="FF133:FF135" si="452">FD133/(FB133+FC133)</f>
        <v>2.3849164622035283E-2</v>
      </c>
      <c r="FG133" s="123">
        <f t="shared" ref="FG133:FG135" si="453">FB133/FC133</f>
        <v>32.715545938748335</v>
      </c>
      <c r="FH133" s="123"/>
      <c r="FI133" s="123"/>
      <c r="FJ133" s="123">
        <f>0.23*FK129</f>
        <v>3.2200000000000002E-3</v>
      </c>
      <c r="FK133" s="123" t="s">
        <v>214</v>
      </c>
      <c r="FL133" s="98"/>
    </row>
    <row r="134" spans="1:168">
      <c r="A134" s="4" t="s">
        <v>3</v>
      </c>
      <c r="B134" s="100">
        <v>556.72500000000002</v>
      </c>
      <c r="C134" s="5">
        <v>888.88699999999994</v>
      </c>
      <c r="D134" s="5">
        <v>244.3</v>
      </c>
      <c r="E134" s="110">
        <f>SUM(B134:D134)</f>
        <v>1689.912</v>
      </c>
      <c r="F134" s="123">
        <f>D134/(B134+C134)</f>
        <v>0.16899416994324895</v>
      </c>
      <c r="G134" s="123">
        <f>B134/C134</f>
        <v>0.62631695592353143</v>
      </c>
      <c r="H134" s="125">
        <f>ABS((E137-E129)/E129)</f>
        <v>1.7397132222126965E-2</v>
      </c>
      <c r="J134" s="123">
        <f>J133</f>
        <v>0.1</v>
      </c>
      <c r="K134" s="123" t="s">
        <v>213</v>
      </c>
      <c r="L134" s="98" t="s">
        <v>241</v>
      </c>
      <c r="S134" s="4" t="s">
        <v>3</v>
      </c>
      <c r="T134" s="100">
        <v>411.39</v>
      </c>
      <c r="U134" s="5">
        <v>618.76300000000003</v>
      </c>
      <c r="V134" s="5">
        <v>279.70499999999998</v>
      </c>
      <c r="W134" s="110">
        <f>SUM(T134:V134)</f>
        <v>1309.8579999999999</v>
      </c>
      <c r="X134" s="123">
        <f>V134/(T134+U134)</f>
        <v>0.27151792015360821</v>
      </c>
      <c r="Y134" s="123">
        <f>T134/U134</f>
        <v>0.66485875852305321</v>
      </c>
      <c r="Z134" s="125">
        <f>ABS((W137-W129)/W129)</f>
        <v>4.1143297644942968E-3</v>
      </c>
      <c r="AB134" s="123">
        <f>AB133</f>
        <v>0.05</v>
      </c>
      <c r="AC134" s="123" t="s">
        <v>213</v>
      </c>
      <c r="AD134" s="98" t="s">
        <v>241</v>
      </c>
      <c r="AJ134" s="4" t="s">
        <v>3</v>
      </c>
      <c r="AK134" s="100">
        <v>1899.83</v>
      </c>
      <c r="AL134" s="5">
        <v>3998.3</v>
      </c>
      <c r="AM134" s="5">
        <v>559.09199999999998</v>
      </c>
      <c r="AN134" s="110">
        <f>SUM(AK134:AM134)</f>
        <v>6457.2219999999998</v>
      </c>
      <c r="AO134" s="123">
        <f>AM134/(AK134+AL134)</f>
        <v>9.4791399986097286E-2</v>
      </c>
      <c r="AP134" s="123">
        <f>AK134/AL134</f>
        <v>0.47515944276317429</v>
      </c>
      <c r="AQ134" s="125">
        <f>ABS((AN137-AN129)/AN129)</f>
        <v>6.2085051081106466E-5</v>
      </c>
      <c r="AT134" s="123">
        <f>AT133</f>
        <v>0.03</v>
      </c>
      <c r="AU134" s="123" t="s">
        <v>213</v>
      </c>
      <c r="AV134" s="98" t="s">
        <v>241</v>
      </c>
      <c r="BG134" s="4" t="s">
        <v>3</v>
      </c>
      <c r="BH134" s="100">
        <v>289.20600000000002</v>
      </c>
      <c r="BI134" s="5">
        <v>581.27</v>
      </c>
      <c r="BJ134" s="5">
        <v>415.16500000000002</v>
      </c>
      <c r="BK134" s="110">
        <f>SUM(BH134:BJ134)</f>
        <v>1285.6410000000001</v>
      </c>
      <c r="BL134" s="123">
        <f>BJ134/(BH134+BI134)</f>
        <v>0.47694020283155425</v>
      </c>
      <c r="BM134" s="123">
        <f>BH134/BI134</f>
        <v>0.49754158996679687</v>
      </c>
      <c r="BN134" s="125">
        <f>ABS((BK137-BK129)/BK129)</f>
        <v>1.2914108871899606E-3</v>
      </c>
      <c r="BO134" s="123"/>
      <c r="BP134" s="123"/>
      <c r="BQ134" s="123">
        <f>BQ133</f>
        <v>1.4999999999999999E-2</v>
      </c>
      <c r="BR134" s="123" t="s">
        <v>213</v>
      </c>
      <c r="BS134" s="98" t="s">
        <v>241</v>
      </c>
      <c r="FA134" s="4" t="s">
        <v>5</v>
      </c>
      <c r="FB134" s="5">
        <f>1.71647*10^6</f>
        <v>1716470</v>
      </c>
      <c r="FC134" s="5">
        <v>71139</v>
      </c>
      <c r="FD134" s="5">
        <v>42633.3</v>
      </c>
      <c r="FE134" s="108">
        <f t="shared" si="451"/>
        <v>1830242.3</v>
      </c>
      <c r="FF134" s="123">
        <f t="shared" si="452"/>
        <v>2.3849342893216583E-2</v>
      </c>
      <c r="FG134" s="123">
        <f t="shared" si="453"/>
        <v>24.128396519490014</v>
      </c>
      <c r="FH134" s="123"/>
      <c r="FI134" s="123" t="s">
        <v>397</v>
      </c>
      <c r="FJ134" s="123"/>
      <c r="FK134" s="103" t="s">
        <v>215</v>
      </c>
      <c r="FL134" s="98"/>
    </row>
    <row r="135" spans="1:168" ht="15.75" thickBot="1">
      <c r="A135" s="4" t="s">
        <v>4</v>
      </c>
      <c r="B135" s="5">
        <v>941.31600000000003</v>
      </c>
      <c r="C135" s="5">
        <v>1940.97</v>
      </c>
      <c r="D135" s="5">
        <v>487.08800000000002</v>
      </c>
      <c r="E135" s="112">
        <f t="shared" ref="E135:E136" si="454">SUM(B135:D135)</f>
        <v>3369.3740000000003</v>
      </c>
      <c r="F135" s="123">
        <f t="shared" ref="F135:F137" si="455">D135/(B135+C135)</f>
        <v>0.1689936390767606</v>
      </c>
      <c r="G135" s="123">
        <f t="shared" ref="G135:G137" si="456">B135/C135</f>
        <v>0.48497194701618263</v>
      </c>
      <c r="J135" s="123">
        <f t="shared" ref="J135:J138" si="457">J134</f>
        <v>0.1</v>
      </c>
      <c r="K135" s="123" t="s">
        <v>214</v>
      </c>
      <c r="L135" s="98" t="s">
        <v>242</v>
      </c>
      <c r="S135" s="4" t="s">
        <v>4</v>
      </c>
      <c r="T135" s="5">
        <v>627.89499999999998</v>
      </c>
      <c r="U135" s="5">
        <v>984.51800000000003</v>
      </c>
      <c r="V135" s="5">
        <v>437.79899999999998</v>
      </c>
      <c r="W135" s="112">
        <f t="shared" ref="W135:W136" si="458">SUM(T135:V135)</f>
        <v>2050.212</v>
      </c>
      <c r="X135" s="123">
        <f t="shared" ref="X135:X137" si="459">V135/(T135+U135)</f>
        <v>0.2715179051520919</v>
      </c>
      <c r="Y135" s="123">
        <f t="shared" ref="Y135:Y137" si="460">T135/U135</f>
        <v>0.63776893870909412</v>
      </c>
      <c r="AB135" s="123">
        <f t="shared" ref="AB135:AB138" si="461">AB134</f>
        <v>0.05</v>
      </c>
      <c r="AC135" s="123" t="s">
        <v>214</v>
      </c>
      <c r="AD135" s="98" t="s">
        <v>242</v>
      </c>
      <c r="AJ135" s="4" t="s">
        <v>4</v>
      </c>
      <c r="AK135" s="5">
        <v>4000.57</v>
      </c>
      <c r="AL135" s="5">
        <v>8204.06</v>
      </c>
      <c r="AM135" s="5">
        <v>1156.8900000000001</v>
      </c>
      <c r="AN135" s="112">
        <f t="shared" ref="AN135:AN136" si="462">SUM(AK135:AM135)</f>
        <v>13361.519999999999</v>
      </c>
      <c r="AO135" s="123">
        <f t="shared" ref="AO135:AO137" si="463">AM135/(AK135+AL135)</f>
        <v>9.4791075190317126E-2</v>
      </c>
      <c r="AP135" s="123">
        <f t="shared" ref="AP135:AP137" si="464">AK135/AL135</f>
        <v>0.4876329524649991</v>
      </c>
      <c r="AT135" s="123">
        <f t="shared" ref="AT135" si="465">AT134</f>
        <v>0.03</v>
      </c>
      <c r="AU135" s="123" t="s">
        <v>214</v>
      </c>
      <c r="AV135" s="98" t="s">
        <v>242</v>
      </c>
      <c r="BG135" s="4" t="s">
        <v>4</v>
      </c>
      <c r="BH135" s="5">
        <v>577.43399999999997</v>
      </c>
      <c r="BI135" s="5">
        <v>1194.02</v>
      </c>
      <c r="BJ135" s="5">
        <v>844.87800000000004</v>
      </c>
      <c r="BK135" s="112">
        <f t="shared" ref="BK135:BK136" si="466">SUM(BH135:BJ135)</f>
        <v>2616.3319999999999</v>
      </c>
      <c r="BL135" s="123">
        <f t="shared" ref="BL135:BL137" si="467">BJ135/(BH135+BI135)</f>
        <v>0.47694041166183265</v>
      </c>
      <c r="BM135" s="123">
        <f t="shared" ref="BM135:BM137" si="468">BH135/BI135</f>
        <v>0.4836049647409591</v>
      </c>
      <c r="BN135" s="123"/>
      <c r="BO135" s="123"/>
      <c r="BP135" s="123"/>
      <c r="BQ135" s="123">
        <f t="shared" ref="BQ135" si="469">BQ134</f>
        <v>1.4999999999999999E-2</v>
      </c>
      <c r="BR135" s="123" t="s">
        <v>214</v>
      </c>
      <c r="BS135" s="98" t="s">
        <v>242</v>
      </c>
      <c r="FA135" s="7"/>
      <c r="FB135" s="111">
        <f>SUM(FB132:FB134)</f>
        <v>71764790</v>
      </c>
      <c r="FC135" s="113">
        <f t="shared" ref="FC135:FD135" si="470">SUM(FC132:FC134)</f>
        <v>4977451</v>
      </c>
      <c r="FD135" s="109">
        <f t="shared" si="470"/>
        <v>1830246.3</v>
      </c>
      <c r="FE135" s="102">
        <f>SUM(FE132:FE134)</f>
        <v>78572487.299999997</v>
      </c>
      <c r="FF135" s="123">
        <f t="shared" si="452"/>
        <v>2.3849268357956865E-2</v>
      </c>
      <c r="FG135" s="123">
        <f t="shared" si="453"/>
        <v>14.417980207138152</v>
      </c>
      <c r="FH135" s="123"/>
      <c r="FI135" s="123" t="s">
        <v>398</v>
      </c>
      <c r="FJ135" s="123"/>
      <c r="FK135" s="103" t="s">
        <v>216</v>
      </c>
      <c r="FL135" s="98"/>
    </row>
    <row r="136" spans="1:168" ht="15.75" thickTop="1">
      <c r="A136" s="4" t="s">
        <v>5</v>
      </c>
      <c r="B136" s="5">
        <v>191.87100000000001</v>
      </c>
      <c r="C136" s="5">
        <v>539.51700000000005</v>
      </c>
      <c r="D136" s="5">
        <v>123.6</v>
      </c>
      <c r="E136" s="108">
        <f t="shared" si="454"/>
        <v>854.98800000000006</v>
      </c>
      <c r="F136" s="123">
        <f t="shared" si="455"/>
        <v>0.16899374887200772</v>
      </c>
      <c r="G136" s="123">
        <f t="shared" si="456"/>
        <v>0.35563476220397133</v>
      </c>
      <c r="J136" s="123">
        <f t="shared" si="457"/>
        <v>0.1</v>
      </c>
      <c r="K136" s="103" t="s">
        <v>215</v>
      </c>
      <c r="L136" s="98" t="s">
        <v>243</v>
      </c>
      <c r="S136" s="4" t="s">
        <v>5</v>
      </c>
      <c r="T136" s="5">
        <v>270.57299999999998</v>
      </c>
      <c r="U136" s="5">
        <v>446.93200000000002</v>
      </c>
      <c r="V136" s="5">
        <v>194.816</v>
      </c>
      <c r="W136" s="108">
        <f t="shared" si="458"/>
        <v>912.32100000000003</v>
      </c>
      <c r="X136" s="123">
        <f t="shared" si="459"/>
        <v>0.27151866537515418</v>
      </c>
      <c r="Y136" s="123">
        <f t="shared" si="460"/>
        <v>0.60540082160149633</v>
      </c>
      <c r="AB136" s="123">
        <f t="shared" si="461"/>
        <v>0.05</v>
      </c>
      <c r="AC136" s="103" t="s">
        <v>215</v>
      </c>
      <c r="AD136" s="98" t="s">
        <v>243</v>
      </c>
      <c r="AJ136" s="4" t="s">
        <v>5</v>
      </c>
      <c r="AK136" s="5">
        <v>556.81799999999998</v>
      </c>
      <c r="AL136" s="5">
        <v>1159.17</v>
      </c>
      <c r="AM136" s="5">
        <v>162.661</v>
      </c>
      <c r="AN136" s="108">
        <f t="shared" si="462"/>
        <v>1878.6490000000001</v>
      </c>
      <c r="AO136" s="123">
        <f t="shared" si="463"/>
        <v>9.479145541810316E-2</v>
      </c>
      <c r="AP136" s="123">
        <f t="shared" si="464"/>
        <v>0.48035922254716734</v>
      </c>
      <c r="AT136" s="123">
        <f t="shared" ref="AT136" si="471">AT135</f>
        <v>0.03</v>
      </c>
      <c r="AU136" s="103" t="s">
        <v>215</v>
      </c>
      <c r="AV136" s="98" t="s">
        <v>243</v>
      </c>
      <c r="BG136" s="4" t="s">
        <v>5</v>
      </c>
      <c r="BH136" s="5">
        <v>419.00099999999998</v>
      </c>
      <c r="BI136" s="5">
        <v>841.04200000000003</v>
      </c>
      <c r="BJ136" s="5">
        <v>600.96500000000003</v>
      </c>
      <c r="BK136" s="108">
        <f t="shared" si="466"/>
        <v>1861.0080000000003</v>
      </c>
      <c r="BL136" s="123">
        <f t="shared" si="467"/>
        <v>0.47694007268005933</v>
      </c>
      <c r="BM136" s="123">
        <f t="shared" si="468"/>
        <v>0.49819271808066656</v>
      </c>
      <c r="BN136" s="123"/>
      <c r="BO136" s="123"/>
      <c r="BP136" s="123"/>
      <c r="BQ136" s="123">
        <f t="shared" ref="BQ136" si="472">BQ135</f>
        <v>1.4999999999999999E-2</v>
      </c>
      <c r="BR136" s="103" t="s">
        <v>215</v>
      </c>
      <c r="BS136" s="98" t="s">
        <v>243</v>
      </c>
      <c r="FA136" s="130"/>
      <c r="FB136" s="123"/>
      <c r="FC136" s="123"/>
      <c r="FD136" s="123"/>
      <c r="FE136" s="123"/>
      <c r="FF136" s="124" t="s">
        <v>420</v>
      </c>
      <c r="FG136" s="103">
        <f>AVERAGE(FG132:FG134)</f>
        <v>23.52094412147153</v>
      </c>
      <c r="FH136" s="123"/>
      <c r="FI136" s="123" t="s">
        <v>399</v>
      </c>
      <c r="FJ136" s="123"/>
      <c r="FK136" s="103" t="s">
        <v>217</v>
      </c>
      <c r="FL136" s="98"/>
    </row>
    <row r="137" spans="1:168" ht="15.75" thickBot="1">
      <c r="A137" s="7"/>
      <c r="B137" s="111">
        <f>SUM(B134:B136)</f>
        <v>1689.9120000000003</v>
      </c>
      <c r="C137" s="113">
        <f t="shared" ref="C137:D137" si="473">SUM(C134:C136)</f>
        <v>3369.3739999999998</v>
      </c>
      <c r="D137" s="109">
        <f t="shared" si="473"/>
        <v>854.98800000000006</v>
      </c>
      <c r="E137" s="102">
        <f>SUM(E134:E136)</f>
        <v>5914.2740000000003</v>
      </c>
      <c r="F137" s="123">
        <f t="shared" si="455"/>
        <v>0.16899380663595615</v>
      </c>
      <c r="G137" s="123">
        <f t="shared" si="456"/>
        <v>0.50155073316289622</v>
      </c>
      <c r="J137" s="123">
        <f t="shared" si="457"/>
        <v>0.1</v>
      </c>
      <c r="K137" s="103" t="s">
        <v>216</v>
      </c>
      <c r="L137" s="98" t="s">
        <v>244</v>
      </c>
      <c r="S137" s="7"/>
      <c r="T137" s="111">
        <f>SUM(T134:T136)</f>
        <v>1309.8579999999997</v>
      </c>
      <c r="U137" s="113">
        <f t="shared" ref="U137:V137" si="474">SUM(U134:U136)</f>
        <v>2050.2129999999997</v>
      </c>
      <c r="V137" s="109">
        <f t="shared" si="474"/>
        <v>912.31999999999994</v>
      </c>
      <c r="W137" s="102">
        <f>SUM(W134:W136)</f>
        <v>4272.3909999999996</v>
      </c>
      <c r="X137" s="123">
        <f t="shared" si="459"/>
        <v>0.27151807208835771</v>
      </c>
      <c r="Y137" s="123">
        <f t="shared" si="460"/>
        <v>0.63888873985288352</v>
      </c>
      <c r="AB137" s="123">
        <f t="shared" si="461"/>
        <v>0.05</v>
      </c>
      <c r="AC137" s="103" t="s">
        <v>216</v>
      </c>
      <c r="AD137" s="98" t="s">
        <v>244</v>
      </c>
      <c r="AJ137" s="7"/>
      <c r="AK137" s="111">
        <f>SUM(AK134:AK136)</f>
        <v>6457.2179999999998</v>
      </c>
      <c r="AL137" s="113">
        <f t="shared" ref="AL137:AM137" si="475">SUM(AL134:AL136)</f>
        <v>13361.53</v>
      </c>
      <c r="AM137" s="109">
        <f t="shared" si="475"/>
        <v>1878.643</v>
      </c>
      <c r="AN137" s="102">
        <f>SUM(AN134:AN136)</f>
        <v>21697.391</v>
      </c>
      <c r="AO137" s="123">
        <f t="shared" si="463"/>
        <v>9.4791204772370088E-2</v>
      </c>
      <c r="AP137" s="123">
        <f t="shared" si="464"/>
        <v>0.48326935612912592</v>
      </c>
      <c r="AT137" s="123">
        <f t="shared" ref="AT137" si="476">AT136</f>
        <v>0.03</v>
      </c>
      <c r="AU137" s="103" t="s">
        <v>216</v>
      </c>
      <c r="AV137" s="98" t="s">
        <v>244</v>
      </c>
      <c r="BG137" s="7"/>
      <c r="BH137" s="111">
        <f>SUM(BH134:BH136)</f>
        <v>1285.6410000000001</v>
      </c>
      <c r="BI137" s="113">
        <f t="shared" ref="BI137:BJ137" si="477">SUM(BI134:BI136)</f>
        <v>2616.3319999999999</v>
      </c>
      <c r="BJ137" s="109">
        <f t="shared" si="477"/>
        <v>1861.0080000000003</v>
      </c>
      <c r="BK137" s="102">
        <f>SUM(BK134:BK136)</f>
        <v>5762.9809999999998</v>
      </c>
      <c r="BL137" s="123">
        <f t="shared" si="467"/>
        <v>0.4769402556091496</v>
      </c>
      <c r="BM137" s="123">
        <f t="shared" si="468"/>
        <v>0.49139061862179578</v>
      </c>
      <c r="BN137" s="123"/>
      <c r="BO137" s="123"/>
      <c r="BP137" s="123"/>
      <c r="BQ137" s="123">
        <f t="shared" ref="BQ137" si="478">BQ136</f>
        <v>1.4999999999999999E-2</v>
      </c>
      <c r="BR137" s="103" t="s">
        <v>216</v>
      </c>
      <c r="BS137" s="98" t="s">
        <v>244</v>
      </c>
      <c r="FA137" s="130" t="s">
        <v>12</v>
      </c>
      <c r="FB137" s="123">
        <f>FB132/FB124</f>
        <v>0.99034380305602721</v>
      </c>
      <c r="FC137" s="123" t="s">
        <v>163</v>
      </c>
      <c r="FD137" s="123">
        <f>FC132/FC124</f>
        <v>1.00350860926315</v>
      </c>
      <c r="FE137" s="124" t="s">
        <v>255</v>
      </c>
      <c r="FF137" s="123"/>
      <c r="FG137" s="123"/>
      <c r="FH137" s="123"/>
      <c r="FI137" s="123"/>
      <c r="FJ137" s="124" t="s">
        <v>423</v>
      </c>
      <c r="FK137" s="123"/>
      <c r="FL137" s="98"/>
    </row>
    <row r="138" spans="1:168" ht="15.75" thickTop="1">
      <c r="A138" s="130"/>
      <c r="F138" s="124" t="s">
        <v>420</v>
      </c>
      <c r="G138" s="103">
        <f>AVERAGE(G134:G136)</f>
        <v>0.48897455504789517</v>
      </c>
      <c r="J138" s="123">
        <f t="shared" si="457"/>
        <v>0.1</v>
      </c>
      <c r="K138" s="103" t="s">
        <v>217</v>
      </c>
      <c r="L138" s="98" t="s">
        <v>245</v>
      </c>
      <c r="X138" s="124" t="s">
        <v>420</v>
      </c>
      <c r="Y138" s="103">
        <f>AVERAGE(Y134:Y136)</f>
        <v>0.63600950627788122</v>
      </c>
      <c r="AB138" s="123">
        <f t="shared" si="461"/>
        <v>0.05</v>
      </c>
      <c r="AC138" s="103" t="s">
        <v>217</v>
      </c>
      <c r="AD138" s="98" t="s">
        <v>245</v>
      </c>
      <c r="AO138" s="124" t="s">
        <v>420</v>
      </c>
      <c r="AP138" s="103">
        <f>AVERAGE(AP134:AP136)</f>
        <v>0.48105053925844693</v>
      </c>
      <c r="AT138" s="123">
        <f t="shared" ref="AT138" si="479">AT137</f>
        <v>0.03</v>
      </c>
      <c r="AU138" s="103" t="s">
        <v>217</v>
      </c>
      <c r="AV138" s="98" t="s">
        <v>245</v>
      </c>
      <c r="BG138" s="130"/>
      <c r="BH138" s="123"/>
      <c r="BI138" s="123"/>
      <c r="BJ138" s="123"/>
      <c r="BK138" s="123"/>
      <c r="BL138" s="124" t="s">
        <v>420</v>
      </c>
      <c r="BM138" s="103">
        <f>AVERAGE(BM134:BM136)</f>
        <v>0.49311309092947414</v>
      </c>
      <c r="BN138" s="123"/>
      <c r="BO138" s="123"/>
      <c r="BP138" s="123"/>
      <c r="BQ138" s="123">
        <f t="shared" ref="BQ138" si="480">BQ137</f>
        <v>1.4999999999999999E-2</v>
      </c>
      <c r="BR138" s="103" t="s">
        <v>217</v>
      </c>
      <c r="BS138" s="98" t="s">
        <v>245</v>
      </c>
      <c r="FA138" s="130" t="s">
        <v>13</v>
      </c>
      <c r="FB138" s="123">
        <f t="shared" ref="FB138:FB139" si="481">FB133/FB125</f>
        <v>0.99033871191222966</v>
      </c>
      <c r="FC138" s="123" t="s">
        <v>164</v>
      </c>
      <c r="FD138" s="123">
        <f t="shared" ref="FD138:FD139" si="482">FC133/FC125</f>
        <v>1.0035075997995657</v>
      </c>
      <c r="FE138" s="123">
        <f>VAR(FG124:FG126)</f>
        <v>92.918144201830046</v>
      </c>
      <c r="FF138" s="124">
        <f>STDEV(FG124:FG126)/FG128</f>
        <v>0.40444543852633758</v>
      </c>
      <c r="FG138" s="124" t="s">
        <v>449</v>
      </c>
      <c r="FH138" s="123"/>
      <c r="FI138" s="123"/>
      <c r="FJ138" s="123" t="s">
        <v>415</v>
      </c>
      <c r="FK138" s="123"/>
      <c r="FL138" s="98"/>
    </row>
    <row r="139" spans="1:168">
      <c r="A139" s="130" t="s">
        <v>12</v>
      </c>
      <c r="B139" s="123">
        <f>B134/B126</f>
        <v>1.0310084984471677</v>
      </c>
      <c r="C139" s="123" t="s">
        <v>163</v>
      </c>
      <c r="D139" s="123">
        <f>C134/C126</f>
        <v>1.0170250352685963</v>
      </c>
      <c r="E139" s="124" t="s">
        <v>255</v>
      </c>
      <c r="J139" s="124" t="s">
        <v>246</v>
      </c>
      <c r="L139" s="98"/>
      <c r="S139" s="130" t="s">
        <v>12</v>
      </c>
      <c r="T139" s="123">
        <f>T134/T126</f>
        <v>1.0075951103262639</v>
      </c>
      <c r="U139" s="123" t="s">
        <v>163</v>
      </c>
      <c r="V139" s="123">
        <f>U134/U126</f>
        <v>1.0031012401718409</v>
      </c>
      <c r="W139" s="124" t="s">
        <v>255</v>
      </c>
      <c r="AB139" s="124" t="s">
        <v>246</v>
      </c>
      <c r="AD139" s="98"/>
      <c r="AJ139" s="130" t="s">
        <v>12</v>
      </c>
      <c r="AK139" s="123">
        <f>AK134/AK126</f>
        <v>0.99974214869074685</v>
      </c>
      <c r="AL139" s="123" t="s">
        <v>163</v>
      </c>
      <c r="AM139" s="123">
        <f>AL134/AL126</f>
        <v>1.0003302493382504</v>
      </c>
      <c r="AN139" s="124" t="s">
        <v>255</v>
      </c>
      <c r="AT139" s="124" t="s">
        <v>246</v>
      </c>
      <c r="AV139" s="98"/>
      <c r="BG139" s="130" t="s">
        <v>12</v>
      </c>
      <c r="BH139" s="123">
        <f>BH134/BH126</f>
        <v>1.0004670132943116</v>
      </c>
      <c r="BI139" s="123" t="s">
        <v>163</v>
      </c>
      <c r="BJ139" s="123">
        <f>BI134/BI126</f>
        <v>0.99730971556418768</v>
      </c>
      <c r="BK139" s="124" t="s">
        <v>255</v>
      </c>
      <c r="BL139" s="123"/>
      <c r="BM139" s="123"/>
      <c r="BN139" s="123"/>
      <c r="BO139" s="123"/>
      <c r="BP139" s="123"/>
      <c r="BQ139" s="124" t="s">
        <v>246</v>
      </c>
      <c r="BR139" s="123"/>
      <c r="BS139" s="98"/>
      <c r="FA139" s="130" t="s">
        <v>14</v>
      </c>
      <c r="FB139" s="123">
        <f t="shared" si="481"/>
        <v>0.99034733441033929</v>
      </c>
      <c r="FC139" s="123" t="s">
        <v>165</v>
      </c>
      <c r="FD139" s="123">
        <f t="shared" si="482"/>
        <v>1.0035096529562619</v>
      </c>
      <c r="FE139" s="123">
        <f>FE138/FG128</f>
        <v>3.8986137064336805</v>
      </c>
      <c r="FF139" s="123"/>
      <c r="FG139" s="124" t="s">
        <v>438</v>
      </c>
      <c r="FH139" s="123"/>
      <c r="FI139" s="123"/>
      <c r="FJ139" s="123" t="s">
        <v>403</v>
      </c>
      <c r="FK139" s="123">
        <v>1</v>
      </c>
      <c r="FL139" s="98" t="s">
        <v>416</v>
      </c>
    </row>
    <row r="140" spans="1:168">
      <c r="A140" s="130" t="s">
        <v>13</v>
      </c>
      <c r="B140" s="123">
        <f t="shared" ref="B140:B141" si="483">B135/B127</f>
        <v>1.0311712297929259</v>
      </c>
      <c r="C140" s="123" t="s">
        <v>164</v>
      </c>
      <c r="D140" s="123">
        <f t="shared" ref="D140:D141" si="484">C135/C127</f>
        <v>1.0144672266096619</v>
      </c>
      <c r="E140" s="123">
        <f>VAR(G126:G128)</f>
        <v>1.7900513155482856E-2</v>
      </c>
      <c r="F140" s="124">
        <f>STDEV(G126:G128)/G130</f>
        <v>0.27771362294392787</v>
      </c>
      <c r="G140" s="124" t="s">
        <v>449</v>
      </c>
      <c r="L140" s="98"/>
      <c r="S140" s="130" t="s">
        <v>13</v>
      </c>
      <c r="T140" s="123">
        <f t="shared" ref="T140:T141" si="485">T135/T127</f>
        <v>1.0068018593673083</v>
      </c>
      <c r="U140" s="123" t="s">
        <v>164</v>
      </c>
      <c r="V140" s="123">
        <f t="shared" ref="V140:V141" si="486">U135/U127</f>
        <v>1.0044205940715274</v>
      </c>
      <c r="W140" s="123">
        <f>VAR(Y126:Y128)</f>
        <v>8.2967337096417904E-4</v>
      </c>
      <c r="X140" s="124">
        <f>STDEV(Y126:Y128)/Y130</f>
        <v>4.5419081453121526E-2</v>
      </c>
      <c r="Y140" s="124" t="s">
        <v>449</v>
      </c>
      <c r="AD140" s="98"/>
      <c r="AJ140" s="130" t="s">
        <v>13</v>
      </c>
      <c r="AK140" s="123">
        <f t="shared" ref="AK140:AK141" si="487">AK135/AK127</f>
        <v>0.99961270526620893</v>
      </c>
      <c r="AL140" s="123" t="s">
        <v>164</v>
      </c>
      <c r="AM140" s="123">
        <f t="shared" ref="AM140:AM141" si="488">AL135/AL127</f>
        <v>1.0002157933942837</v>
      </c>
      <c r="AN140" s="123">
        <f>VAR(AP126:AP128)</f>
        <v>3.9311506263081482E-5</v>
      </c>
      <c r="AO140" s="124">
        <f>STDEV(AP126:AP128)/AP130</f>
        <v>1.3025497039315537E-2</v>
      </c>
      <c r="AP140" s="124" t="s">
        <v>449</v>
      </c>
      <c r="AV140" s="98"/>
      <c r="BG140" s="130" t="s">
        <v>13</v>
      </c>
      <c r="BH140" s="123">
        <f t="shared" ref="BH140:BH141" si="489">BH135/BH127</f>
        <v>1.0002823630495903</v>
      </c>
      <c r="BI140" s="123" t="s">
        <v>164</v>
      </c>
      <c r="BJ140" s="123">
        <f t="shared" ref="BJ140:BJ141" si="490">BI135/BI127</f>
        <v>0.99701068804275228</v>
      </c>
      <c r="BK140" s="123">
        <f>VAR(BM126:BM128)</f>
        <v>6.731336921754373E-5</v>
      </c>
      <c r="BL140" s="124">
        <f>STDEV(BM126:BM128)/BM130</f>
        <v>1.6692981827282218E-2</v>
      </c>
      <c r="BM140" s="124" t="s">
        <v>449</v>
      </c>
      <c r="BN140" s="123"/>
      <c r="BO140" s="123"/>
      <c r="BP140" s="123"/>
      <c r="BQ140" s="123"/>
      <c r="BR140" s="123"/>
      <c r="BS140" s="98"/>
      <c r="FA140" s="130" t="s">
        <v>15</v>
      </c>
      <c r="FB140" s="123">
        <f>FE132/FE124</f>
        <v>0.99034355286047493</v>
      </c>
      <c r="FC140" s="123" t="s">
        <v>67</v>
      </c>
      <c r="FD140" s="123">
        <f>FE133/FE125</f>
        <v>1.0035093204530294</v>
      </c>
      <c r="FE140" s="124" t="s">
        <v>256</v>
      </c>
      <c r="FF140" s="123"/>
      <c r="FG140" s="123"/>
      <c r="FH140" s="123"/>
      <c r="FI140" s="123"/>
      <c r="FJ140" s="123" t="s">
        <v>401</v>
      </c>
      <c r="FK140" s="123">
        <v>500</v>
      </c>
      <c r="FL140" s="98" t="s">
        <v>417</v>
      </c>
    </row>
    <row r="141" spans="1:168">
      <c r="A141" s="130" t="s">
        <v>14</v>
      </c>
      <c r="B141" s="123">
        <f t="shared" si="483"/>
        <v>1.0299420804861159</v>
      </c>
      <c r="C141" s="123" t="s">
        <v>165</v>
      </c>
      <c r="D141" s="123">
        <f t="shared" si="484"/>
        <v>1.0146599162720371</v>
      </c>
      <c r="G141" s="124" t="s">
        <v>438</v>
      </c>
      <c r="L141" s="98"/>
      <c r="S141" s="130" t="s">
        <v>14</v>
      </c>
      <c r="T141" s="123">
        <f t="shared" si="485"/>
        <v>1.0065285806754012</v>
      </c>
      <c r="U141" s="123" t="s">
        <v>165</v>
      </c>
      <c r="V141" s="123">
        <f t="shared" si="486"/>
        <v>1.0048609393619174</v>
      </c>
      <c r="Y141" s="124" t="s">
        <v>438</v>
      </c>
      <c r="AD141" s="98"/>
      <c r="AJ141" s="130" t="s">
        <v>14</v>
      </c>
      <c r="AK141" s="123">
        <f t="shared" si="487"/>
        <v>0.99969837661987915</v>
      </c>
      <c r="AL141" s="123" t="s">
        <v>165</v>
      </c>
      <c r="AM141" s="123">
        <f t="shared" si="488"/>
        <v>1.0004056269957711</v>
      </c>
      <c r="AP141" s="124" t="s">
        <v>438</v>
      </c>
      <c r="AV141" s="98"/>
      <c r="BG141" s="130" t="s">
        <v>14</v>
      </c>
      <c r="BH141" s="123">
        <f t="shared" si="489"/>
        <v>1.0002339443737571</v>
      </c>
      <c r="BI141" s="123" t="s">
        <v>165</v>
      </c>
      <c r="BJ141" s="123">
        <f t="shared" si="490"/>
        <v>0.99679996965897166</v>
      </c>
      <c r="BK141" s="123"/>
      <c r="BL141" s="123"/>
      <c r="BM141" s="124" t="s">
        <v>438</v>
      </c>
      <c r="BN141" s="123"/>
      <c r="BO141" s="123"/>
      <c r="BP141" s="123"/>
      <c r="BQ141" s="123"/>
      <c r="BR141" s="123"/>
      <c r="BS141" s="98"/>
      <c r="FA141" s="130" t="s">
        <v>170</v>
      </c>
      <c r="FB141" s="123">
        <f>VAR(FB137:FB139)</f>
        <v>1.8789613682525119E-11</v>
      </c>
      <c r="FC141" s="123" t="s">
        <v>170</v>
      </c>
      <c r="FD141" s="123">
        <f>VAR(FD137:FD139)</f>
        <v>1.0539607431818024E-12</v>
      </c>
      <c r="FE141" s="123">
        <f>VAR(FG132:FG134)</f>
        <v>90.494983916858246</v>
      </c>
      <c r="FF141" s="124">
        <f>STDEV(FG132:FG134)/FG136</f>
        <v>0.40444316788313733</v>
      </c>
      <c r="FG141" s="124" t="s">
        <v>449</v>
      </c>
      <c r="FH141" s="123"/>
      <c r="FI141" s="123"/>
      <c r="FJ141" s="123"/>
      <c r="FK141" s="123"/>
      <c r="FL141" s="98"/>
    </row>
    <row r="142" spans="1:168">
      <c r="A142" s="130" t="s">
        <v>15</v>
      </c>
      <c r="B142" s="123">
        <f>E134/E126</f>
        <v>1.0309779243320412</v>
      </c>
      <c r="C142" s="123" t="s">
        <v>67</v>
      </c>
      <c r="D142" s="123">
        <f>E135/E127</f>
        <v>1.0151716516235672</v>
      </c>
      <c r="E142" s="124" t="s">
        <v>256</v>
      </c>
      <c r="L142" s="98"/>
      <c r="S142" s="130" t="s">
        <v>15</v>
      </c>
      <c r="T142" s="123">
        <f>W134/W126</f>
        <v>1.00699437252068</v>
      </c>
      <c r="U142" s="123" t="s">
        <v>67</v>
      </c>
      <c r="V142" s="123">
        <f>W135/W127</f>
        <v>1.004117435308465</v>
      </c>
      <c r="W142" s="124" t="s">
        <v>256</v>
      </c>
      <c r="AD142" s="98"/>
      <c r="AJ142" s="130" t="s">
        <v>15</v>
      </c>
      <c r="AK142" s="123">
        <f>AN134/AN126</f>
        <v>0.99965817417326286</v>
      </c>
      <c r="AL142" s="123" t="s">
        <v>67</v>
      </c>
      <c r="AM142" s="123">
        <f>AN135/AN127</f>
        <v>1.0002657589439112</v>
      </c>
      <c r="AN142" s="124" t="s">
        <v>256</v>
      </c>
      <c r="AV142" s="98"/>
      <c r="BG142" s="130" t="s">
        <v>15</v>
      </c>
      <c r="BH142" s="123">
        <f>BK134/BK126</f>
        <v>1.0003081124610484</v>
      </c>
      <c r="BI142" s="123" t="s">
        <v>67</v>
      </c>
      <c r="BJ142" s="123">
        <f>BK135/BK127</f>
        <v>0.99700935149265679</v>
      </c>
      <c r="BK142" s="124" t="s">
        <v>256</v>
      </c>
      <c r="BL142" s="123"/>
      <c r="BM142" s="123"/>
      <c r="BN142" s="123"/>
      <c r="BO142" s="123"/>
      <c r="BP142" s="123"/>
      <c r="BQ142" s="123"/>
      <c r="BR142" s="123"/>
      <c r="BS142" s="98"/>
      <c r="FA142" s="130"/>
      <c r="FB142" s="123"/>
      <c r="FC142" s="123"/>
      <c r="FD142" s="123"/>
      <c r="FE142" s="123">
        <f>FE141/FG136</f>
        <v>3.8474214066198229</v>
      </c>
      <c r="FF142" s="123"/>
      <c r="FG142" s="124" t="s">
        <v>438</v>
      </c>
      <c r="FH142" s="123"/>
      <c r="FI142" s="123"/>
      <c r="FJ142" s="123"/>
      <c r="FK142" s="123"/>
      <c r="FL142" s="98"/>
    </row>
    <row r="143" spans="1:168">
      <c r="A143" s="130" t="s">
        <v>170</v>
      </c>
      <c r="B143" s="123">
        <f>VAR(B139:B141)</f>
        <v>4.4575612949624741E-7</v>
      </c>
      <c r="C143" s="123" t="s">
        <v>170</v>
      </c>
      <c r="D143" s="123">
        <f>VAR(D139:D141)</f>
        <v>2.0288837182652287E-6</v>
      </c>
      <c r="E143" s="123">
        <f>VAR(G134:G136)</f>
        <v>1.8329228152500043E-2</v>
      </c>
      <c r="F143" s="124">
        <f>STDEV(G134:G136)/G138</f>
        <v>0.27687632913824373</v>
      </c>
      <c r="G143" s="124" t="s">
        <v>449</v>
      </c>
      <c r="L143" s="98"/>
      <c r="S143" s="130" t="s">
        <v>170</v>
      </c>
      <c r="T143" s="123">
        <f>VAR(T139:T141)</f>
        <v>3.0690230391731748E-7</v>
      </c>
      <c r="U143" s="123" t="s">
        <v>170</v>
      </c>
      <c r="V143" s="123">
        <f>VAR(V139:V141)</f>
        <v>8.3852332115714144E-7</v>
      </c>
      <c r="W143" s="123">
        <f>VAR(Y134:Y136)</f>
        <v>8.8613326760200728E-4</v>
      </c>
      <c r="X143" s="124">
        <f>STDEV(Y134:Y136)/Y138</f>
        <v>4.6804317169152794E-2</v>
      </c>
      <c r="Y143" s="124" t="s">
        <v>449</v>
      </c>
      <c r="AD143" s="98"/>
      <c r="AJ143" s="130" t="s">
        <v>170</v>
      </c>
      <c r="AK143" s="123">
        <f>VAR(AK139:AK141)</f>
        <v>4.3351958639726075E-9</v>
      </c>
      <c r="AL143" s="123" t="s">
        <v>170</v>
      </c>
      <c r="AM143" s="123">
        <f>VAR(AM139:AM141)</f>
        <v>9.1364584360484968E-9</v>
      </c>
      <c r="AN143" s="123">
        <f>VAR(AP134:AP136)</f>
        <v>3.9255550166850238E-5</v>
      </c>
      <c r="AO143" s="124">
        <f>STDEV(AP134:AP136)/AP138</f>
        <v>1.3024463060800847E-2</v>
      </c>
      <c r="AP143" s="124" t="s">
        <v>449</v>
      </c>
      <c r="AV143" s="98"/>
      <c r="BG143" s="130" t="s">
        <v>170</v>
      </c>
      <c r="BH143" s="123">
        <f>VAR(BH139:BH141)</f>
        <v>1.5126867128924527E-8</v>
      </c>
      <c r="BI143" s="123" t="s">
        <v>170</v>
      </c>
      <c r="BJ143" s="123">
        <f>VAR(BJ139:BJ141)</f>
        <v>6.5610097287235673E-8</v>
      </c>
      <c r="BK143" s="123">
        <f>VAR(BM134:BM136)</f>
        <v>6.7909339667712593E-5</v>
      </c>
      <c r="BL143" s="124">
        <f>STDEV(BM134:BM136)/BM138</f>
        <v>1.6711607295103872E-2</v>
      </c>
      <c r="BM143" s="124" t="s">
        <v>449</v>
      </c>
      <c r="BN143" s="123"/>
      <c r="BO143" s="123"/>
      <c r="BP143" s="123"/>
      <c r="BQ143" s="123"/>
      <c r="BR143" s="123"/>
      <c r="BS143" s="98"/>
      <c r="FA143" s="130"/>
      <c r="FB143" s="123"/>
      <c r="FC143" s="123"/>
      <c r="FD143" s="123" t="s">
        <v>444</v>
      </c>
      <c r="FE143" s="123"/>
      <c r="FF143" s="123"/>
      <c r="FG143" s="123"/>
      <c r="FH143" s="123"/>
      <c r="FI143" s="123"/>
      <c r="FJ143" s="123"/>
      <c r="FK143" s="123"/>
      <c r="FL143" s="98"/>
    </row>
    <row r="144" spans="1:168">
      <c r="A144" s="130"/>
      <c r="G144" s="124" t="s">
        <v>438</v>
      </c>
      <c r="L144" s="98"/>
      <c r="Y144" s="124" t="s">
        <v>438</v>
      </c>
      <c r="AD144" s="98"/>
      <c r="AP144" s="124" t="s">
        <v>438</v>
      </c>
      <c r="AV144" s="98"/>
      <c r="BG144" s="130"/>
      <c r="BH144" s="123"/>
      <c r="BI144" s="123"/>
      <c r="BJ144" s="123"/>
      <c r="BK144" s="123"/>
      <c r="BL144" s="123"/>
      <c r="BM144" s="124" t="s">
        <v>438</v>
      </c>
      <c r="BN144" s="123"/>
      <c r="BO144" s="123"/>
      <c r="BP144" s="123"/>
      <c r="BQ144" s="123"/>
      <c r="BR144" s="123"/>
      <c r="BS144" s="98"/>
      <c r="FA144" s="130"/>
      <c r="FB144" s="123">
        <f>FB137</f>
        <v>0.99034380305602721</v>
      </c>
      <c r="FC144" s="123"/>
      <c r="FD144" s="123">
        <f>ABS(FC132-FB133)/FC132</f>
        <v>9.4075747776200518E-3</v>
      </c>
      <c r="FE144" s="123" t="s">
        <v>446</v>
      </c>
      <c r="FF144" s="123"/>
      <c r="FG144" s="123"/>
      <c r="FH144" s="123"/>
      <c r="FI144" s="123"/>
      <c r="FJ144" s="123"/>
      <c r="FK144" s="123"/>
      <c r="FL144" s="98"/>
    </row>
    <row r="145" spans="1:168">
      <c r="A145" s="130"/>
      <c r="D145" s="123" t="s">
        <v>444</v>
      </c>
      <c r="L145" s="98"/>
      <c r="V145" s="123" t="s">
        <v>444</v>
      </c>
      <c r="AD145" s="98"/>
      <c r="AM145" s="123" t="s">
        <v>444</v>
      </c>
      <c r="AV145" s="98"/>
      <c r="BG145" s="130"/>
      <c r="BH145" s="123"/>
      <c r="BI145" s="123"/>
      <c r="BJ145" s="123" t="s">
        <v>444</v>
      </c>
      <c r="BK145" s="123"/>
      <c r="BL145" s="123"/>
      <c r="BM145" s="123"/>
      <c r="BN145" s="123"/>
      <c r="BO145" s="123"/>
      <c r="BP145" s="123"/>
      <c r="BQ145" s="123"/>
      <c r="BR145" s="123"/>
      <c r="BS145" s="98"/>
      <c r="FA145" s="130"/>
      <c r="FB145" s="123">
        <f t="shared" ref="FB145:FB146" si="491">FB138</f>
        <v>0.99033871191222966</v>
      </c>
      <c r="FC145" s="123"/>
      <c r="FD145" s="123">
        <f>ABS((FC124-FB125)/FC124)</f>
        <v>3.7656965484978307E-3</v>
      </c>
      <c r="FE145" s="123" t="s">
        <v>445</v>
      </c>
      <c r="FF145" s="123"/>
      <c r="FG145" s="123"/>
      <c r="FH145" s="123"/>
      <c r="FI145" s="123"/>
      <c r="FJ145" s="123"/>
      <c r="FK145" s="123"/>
      <c r="FL145" s="98"/>
    </row>
    <row r="146" spans="1:168">
      <c r="A146" s="130"/>
      <c r="B146" s="123">
        <f>B139</f>
        <v>1.0310084984471677</v>
      </c>
      <c r="D146" s="123">
        <f>ABS(C134-B135)/C134</f>
        <v>5.8982750338344568E-2</v>
      </c>
      <c r="E146" s="123" t="s">
        <v>446</v>
      </c>
      <c r="L146" s="98"/>
      <c r="T146" s="123">
        <f>T139</f>
        <v>1.0075951103262639</v>
      </c>
      <c r="V146" s="123">
        <f>ABS(U134-T135)/U134</f>
        <v>1.4758477801678426E-2</v>
      </c>
      <c r="W146" s="123" t="s">
        <v>446</v>
      </c>
      <c r="AD146" s="98"/>
      <c r="AK146" s="123">
        <f>AK139</f>
        <v>0.99974214869074685</v>
      </c>
      <c r="AM146" s="123">
        <f>ABS(AL134-AK135)/AL134</f>
        <v>5.6774129004826597E-4</v>
      </c>
      <c r="AN146" s="123" t="s">
        <v>446</v>
      </c>
      <c r="AV146" s="98"/>
      <c r="BG146" s="130"/>
      <c r="BH146" s="123">
        <f>BH139</f>
        <v>1.0004670132943116</v>
      </c>
      <c r="BI146" s="123"/>
      <c r="BJ146" s="123">
        <f>ABS(BI134-BH135)/BI134</f>
        <v>6.5993428183116504E-3</v>
      </c>
      <c r="BK146" s="123" t="s">
        <v>446</v>
      </c>
      <c r="BL146" s="123"/>
      <c r="BM146" s="123"/>
      <c r="BN146" s="123"/>
      <c r="BO146" s="123"/>
      <c r="BP146" s="123"/>
      <c r="BQ146" s="123"/>
      <c r="BR146" s="123"/>
      <c r="BS146" s="98"/>
      <c r="FA146" s="130"/>
      <c r="FB146" s="123">
        <f t="shared" si="491"/>
        <v>0.99034733441033929</v>
      </c>
      <c r="FC146" s="123"/>
      <c r="FD146" s="123"/>
      <c r="FE146" s="123"/>
      <c r="FF146" s="123"/>
      <c r="FG146" s="123"/>
      <c r="FH146" s="123"/>
      <c r="FI146" s="123"/>
      <c r="FJ146" s="123"/>
      <c r="FK146" s="123"/>
      <c r="FL146" s="98"/>
    </row>
    <row r="147" spans="1:168">
      <c r="A147" s="130"/>
      <c r="B147" s="123">
        <f t="shared" ref="B147:B148" si="492">B140</f>
        <v>1.0311712297929259</v>
      </c>
      <c r="D147" s="123">
        <f>ABS((C126-B127)/C126)</f>
        <v>4.4455021527287586E-2</v>
      </c>
      <c r="E147" s="123" t="s">
        <v>445</v>
      </c>
      <c r="L147" s="98"/>
      <c r="T147" s="123">
        <f t="shared" ref="T147:T148" si="493">T140</f>
        <v>1.0068018593673083</v>
      </c>
      <c r="V147" s="123">
        <f>ABS((U126-T127)/U126)</f>
        <v>1.1028613115019854E-2</v>
      </c>
      <c r="W147" s="123" t="s">
        <v>445</v>
      </c>
      <c r="AD147" s="98"/>
      <c r="AK147" s="123">
        <f t="shared" ref="AK147:AK148" si="494">AK140</f>
        <v>0.99961270526620893</v>
      </c>
      <c r="AM147" s="123">
        <f>ABS((AL126-AK127)/AL126)</f>
        <v>1.285970908035535E-3</v>
      </c>
      <c r="AN147" s="123" t="s">
        <v>445</v>
      </c>
      <c r="AV147" s="98"/>
      <c r="BG147" s="130"/>
      <c r="BH147" s="123">
        <f t="shared" ref="BH147:BH148" si="495">BH140</f>
        <v>1.0002823630495903</v>
      </c>
      <c r="BI147" s="123"/>
      <c r="BJ147" s="123">
        <f>ABS((BI126-BH127)/BI126)</f>
        <v>9.5515391927087929E-3</v>
      </c>
      <c r="BK147" s="123" t="s">
        <v>445</v>
      </c>
      <c r="BL147" s="123"/>
      <c r="BM147" s="123"/>
      <c r="BN147" s="123"/>
      <c r="BO147" s="123"/>
      <c r="BP147" s="123"/>
      <c r="BQ147" s="123"/>
      <c r="BR147" s="123"/>
      <c r="BS147" s="98"/>
      <c r="FA147" s="130"/>
      <c r="FB147" s="123">
        <f>FD137</f>
        <v>1.00350860926315</v>
      </c>
      <c r="FC147" s="123"/>
      <c r="FD147" s="123"/>
      <c r="FE147" s="123"/>
      <c r="FF147" s="123"/>
      <c r="FG147" s="123"/>
      <c r="FH147" s="123"/>
      <c r="FI147" s="123"/>
      <c r="FJ147" s="123"/>
      <c r="FK147" s="123"/>
      <c r="FL147" s="98"/>
    </row>
    <row r="148" spans="1:168">
      <c r="A148" s="130"/>
      <c r="B148" s="123">
        <f t="shared" si="492"/>
        <v>1.0299420804861159</v>
      </c>
      <c r="L148" s="98"/>
      <c r="T148" s="123">
        <f t="shared" si="493"/>
        <v>1.0065285806754012</v>
      </c>
      <c r="AD148" s="98"/>
      <c r="AK148" s="123">
        <f t="shared" si="494"/>
        <v>0.99969837661987915</v>
      </c>
      <c r="AV148" s="98"/>
      <c r="BG148" s="130"/>
      <c r="BH148" s="123">
        <f t="shared" si="495"/>
        <v>1.0002339443737571</v>
      </c>
      <c r="BI148" s="123"/>
      <c r="BJ148" s="123"/>
      <c r="BK148" s="123"/>
      <c r="BL148" s="123"/>
      <c r="BM148" s="123"/>
      <c r="BN148" s="123"/>
      <c r="BO148" s="123"/>
      <c r="BP148" s="123"/>
      <c r="BQ148" s="123"/>
      <c r="BR148" s="123"/>
      <c r="BS148" s="98"/>
      <c r="FA148" s="130"/>
      <c r="FB148" s="123">
        <f t="shared" ref="FB148:FB149" si="496">FD138</f>
        <v>1.0035075997995657</v>
      </c>
      <c r="FC148" s="123"/>
      <c r="FD148" s="123"/>
      <c r="FE148" s="123"/>
      <c r="FF148" s="123"/>
      <c r="FG148" s="123"/>
      <c r="FH148" s="123"/>
      <c r="FI148" s="123"/>
      <c r="FJ148" s="123"/>
      <c r="FK148" s="123"/>
      <c r="FL148" s="98"/>
    </row>
    <row r="149" spans="1:168">
      <c r="A149" s="130"/>
      <c r="B149" s="123">
        <f>D139</f>
        <v>1.0170250352685963</v>
      </c>
      <c r="L149" s="98"/>
      <c r="T149" s="123">
        <f>V139</f>
        <v>1.0031012401718409</v>
      </c>
      <c r="AD149" s="98"/>
      <c r="AK149" s="123">
        <f>AM139</f>
        <v>1.0003302493382504</v>
      </c>
      <c r="AV149" s="98"/>
      <c r="BG149" s="130"/>
      <c r="BH149" s="123">
        <f>BJ139</f>
        <v>0.99730971556418768</v>
      </c>
      <c r="BI149" s="123"/>
      <c r="BJ149" s="123"/>
      <c r="BK149" s="123"/>
      <c r="BL149" s="123"/>
      <c r="BM149" s="123"/>
      <c r="BN149" s="123"/>
      <c r="BO149" s="123"/>
      <c r="BP149" s="123"/>
      <c r="BQ149" s="123"/>
      <c r="BR149" s="123"/>
      <c r="BS149" s="98"/>
      <c r="FA149" s="130"/>
      <c r="FB149" s="123">
        <f t="shared" si="496"/>
        <v>1.0035096529562619</v>
      </c>
      <c r="FC149" s="123"/>
      <c r="FD149" s="123"/>
      <c r="FE149" s="123"/>
      <c r="FF149" s="123"/>
      <c r="FG149" s="123"/>
      <c r="FH149" s="123"/>
      <c r="FI149" s="123"/>
      <c r="FJ149" s="123"/>
      <c r="FK149" s="123"/>
      <c r="FL149" s="98"/>
    </row>
    <row r="150" spans="1:168" ht="15.75" thickBot="1">
      <c r="A150" s="130"/>
      <c r="B150" s="123">
        <f t="shared" ref="B150:B151" si="497">D140</f>
        <v>1.0144672266096619</v>
      </c>
      <c r="L150" s="98"/>
      <c r="T150" s="123">
        <f t="shared" ref="T150:T151" si="498">V140</f>
        <v>1.0044205940715274</v>
      </c>
      <c r="AD150" s="98"/>
      <c r="AK150" s="123">
        <f t="shared" ref="AK150:AK151" si="499">AM140</f>
        <v>1.0002157933942837</v>
      </c>
      <c r="AV150" s="98"/>
      <c r="BG150" s="130"/>
      <c r="BH150" s="123">
        <f t="shared" ref="BH150:BH151" si="500">BJ140</f>
        <v>0.99701068804275228</v>
      </c>
      <c r="BI150" s="123"/>
      <c r="BJ150" s="123"/>
      <c r="BK150" s="123"/>
      <c r="BL150" s="123"/>
      <c r="BM150" s="123"/>
      <c r="BN150" s="123"/>
      <c r="BO150" s="123"/>
      <c r="BP150" s="123"/>
      <c r="BQ150" s="123"/>
      <c r="BR150" s="123"/>
      <c r="BS150" s="98"/>
      <c r="FA150" s="131" t="s">
        <v>170</v>
      </c>
      <c r="FB150" s="126">
        <f>VAR(FB144:FB149)</f>
        <v>5.19978417537356E-5</v>
      </c>
      <c r="FC150" s="126"/>
      <c r="FD150" s="126"/>
      <c r="FE150" s="126"/>
      <c r="FF150" s="126"/>
      <c r="FG150" s="126"/>
      <c r="FH150" s="126"/>
      <c r="FI150" s="126"/>
      <c r="FJ150" s="126"/>
      <c r="FK150" s="126"/>
      <c r="FL150" s="127"/>
    </row>
    <row r="151" spans="1:168" ht="15.75" thickTop="1">
      <c r="A151" s="130"/>
      <c r="B151" s="123">
        <f t="shared" si="497"/>
        <v>1.0146599162720371</v>
      </c>
      <c r="L151" s="98"/>
      <c r="T151" s="123">
        <f t="shared" si="498"/>
        <v>1.0048609393619174</v>
      </c>
      <c r="AD151" s="98"/>
      <c r="AK151" s="123">
        <f t="shared" si="499"/>
        <v>1.0004056269957711</v>
      </c>
      <c r="AV151" s="98"/>
      <c r="BG151" s="130"/>
      <c r="BH151" s="123">
        <f t="shared" si="500"/>
        <v>0.99679996965897166</v>
      </c>
      <c r="BI151" s="123"/>
      <c r="BJ151" s="123"/>
      <c r="BK151" s="123"/>
      <c r="BL151" s="123"/>
      <c r="BM151" s="123"/>
      <c r="BN151" s="123"/>
      <c r="BO151" s="123"/>
      <c r="BP151" s="123"/>
      <c r="BQ151" s="123"/>
      <c r="BR151" s="123"/>
      <c r="BS151" s="98"/>
      <c r="FA151" s="128"/>
      <c r="FB151" s="121"/>
      <c r="FC151" s="121"/>
      <c r="FD151" s="121"/>
      <c r="FE151" s="121"/>
      <c r="FF151" s="133" t="s">
        <v>239</v>
      </c>
      <c r="FG151" s="121"/>
      <c r="FH151" s="121"/>
      <c r="FI151" s="129" t="s">
        <v>462</v>
      </c>
      <c r="FJ151" s="121"/>
      <c r="FK151" s="121"/>
      <c r="FL151" s="122"/>
    </row>
    <row r="152" spans="1:168" ht="15.75" thickBot="1">
      <c r="A152" s="131" t="s">
        <v>170</v>
      </c>
      <c r="B152" s="126">
        <f>VAR(B146:B151)</f>
        <v>7.1430087115305081E-5</v>
      </c>
      <c r="C152" s="126"/>
      <c r="D152" s="126"/>
      <c r="E152" s="126"/>
      <c r="F152" s="126"/>
      <c r="G152" s="126"/>
      <c r="H152" s="126"/>
      <c r="I152" s="126"/>
      <c r="J152" s="126"/>
      <c r="K152" s="126"/>
      <c r="L152" s="127"/>
      <c r="S152" s="131" t="s">
        <v>170</v>
      </c>
      <c r="T152" s="126">
        <f>VAR(T146:T151)</f>
        <v>2.8908047445031674E-6</v>
      </c>
      <c r="U152" s="126"/>
      <c r="V152" s="126"/>
      <c r="W152" s="126"/>
      <c r="X152" s="126"/>
      <c r="Y152" s="126"/>
      <c r="Z152" s="126"/>
      <c r="AA152" s="126"/>
      <c r="AB152" s="126"/>
      <c r="AC152" s="126"/>
      <c r="AD152" s="127"/>
      <c r="AJ152" s="131" t="s">
        <v>170</v>
      </c>
      <c r="AK152" s="126">
        <f>VAR(AK146:AK151)</f>
        <v>1.2552436878117848E-7</v>
      </c>
      <c r="AL152" s="126"/>
      <c r="AM152" s="126"/>
      <c r="AN152" s="126"/>
      <c r="AO152" s="126"/>
      <c r="AP152" s="126"/>
      <c r="AQ152" s="126"/>
      <c r="AR152" s="126"/>
      <c r="AS152" s="126"/>
      <c r="AT152" s="126"/>
      <c r="AU152" s="126"/>
      <c r="AV152" s="127"/>
      <c r="BG152" s="131" t="s">
        <v>170</v>
      </c>
      <c r="BH152" s="126">
        <f>VAR(BH146:BH151)</f>
        <v>3.274885866964167E-6</v>
      </c>
      <c r="BI152" s="126"/>
      <c r="BJ152" s="126"/>
      <c r="BK152" s="126"/>
      <c r="BL152" s="126"/>
      <c r="BM152" s="126"/>
      <c r="BN152" s="126"/>
      <c r="BO152" s="126"/>
      <c r="BP152" s="126"/>
      <c r="BQ152" s="126"/>
      <c r="BR152" s="126"/>
      <c r="BS152" s="127"/>
      <c r="FA152" s="130" t="s">
        <v>167</v>
      </c>
      <c r="FB152" s="123"/>
      <c r="FC152" s="123"/>
      <c r="FD152" s="123"/>
      <c r="FE152" s="123"/>
      <c r="FF152" s="123"/>
      <c r="FG152" s="123"/>
      <c r="FH152" s="123" t="s">
        <v>168</v>
      </c>
      <c r="FI152" s="123"/>
      <c r="FJ152" s="123"/>
      <c r="FK152" s="123"/>
      <c r="FL152" s="98"/>
    </row>
    <row r="153" spans="1:168" ht="16.5" thickTop="1" thickBot="1">
      <c r="A153" s="128"/>
      <c r="B153" s="121"/>
      <c r="C153" s="121"/>
      <c r="D153" s="121"/>
      <c r="E153" s="121"/>
      <c r="F153" s="133" t="s">
        <v>239</v>
      </c>
      <c r="G153" s="121"/>
      <c r="H153" s="121"/>
      <c r="I153" s="124" t="s">
        <v>235</v>
      </c>
      <c r="J153" s="121"/>
      <c r="K153" s="121"/>
      <c r="L153" s="122"/>
      <c r="S153" s="128"/>
      <c r="T153" s="121"/>
      <c r="U153" s="121"/>
      <c r="V153" s="121"/>
      <c r="W153" s="121"/>
      <c r="X153" s="133" t="s">
        <v>239</v>
      </c>
      <c r="Y153" s="121"/>
      <c r="Z153" s="121"/>
      <c r="AA153" s="129" t="s">
        <v>219</v>
      </c>
      <c r="AB153" s="121"/>
      <c r="AC153" s="121"/>
      <c r="AD153" s="122"/>
      <c r="AJ153" s="128"/>
      <c r="AK153" s="121"/>
      <c r="AL153" s="121"/>
      <c r="AM153" s="121"/>
      <c r="AN153" s="121"/>
      <c r="AO153" s="133" t="s">
        <v>239</v>
      </c>
      <c r="AP153" s="121"/>
      <c r="AQ153" s="121"/>
      <c r="AR153" s="129" t="s">
        <v>224</v>
      </c>
      <c r="AS153" s="121"/>
      <c r="AT153" s="121"/>
      <c r="AU153" s="122"/>
      <c r="BG153" s="128"/>
      <c r="BH153" s="121"/>
      <c r="BI153" s="121"/>
      <c r="BJ153" s="121"/>
      <c r="BK153" s="121"/>
      <c r="BL153" s="133" t="s">
        <v>239</v>
      </c>
      <c r="BM153" s="121"/>
      <c r="BN153" s="121"/>
      <c r="BO153" s="124" t="s">
        <v>193</v>
      </c>
      <c r="BP153" s="121"/>
      <c r="BQ153" s="121"/>
      <c r="BR153" s="121"/>
      <c r="BS153" s="122"/>
      <c r="FA153" s="1"/>
      <c r="FB153" s="2" t="s">
        <v>0</v>
      </c>
      <c r="FC153" s="2" t="s">
        <v>1</v>
      </c>
      <c r="FD153" s="2" t="s">
        <v>2</v>
      </c>
      <c r="FE153" s="3" t="s">
        <v>6</v>
      </c>
      <c r="FF153" s="103" t="s">
        <v>70</v>
      </c>
      <c r="FG153" s="103" t="s">
        <v>172</v>
      </c>
      <c r="FH153" s="123" t="s">
        <v>3</v>
      </c>
      <c r="FI153" s="123">
        <v>1000</v>
      </c>
      <c r="FJ153" s="123"/>
      <c r="FK153" s="123" t="s">
        <v>19</v>
      </c>
      <c r="FL153" s="123">
        <v>6.9146700000000004E-3</v>
      </c>
    </row>
    <row r="154" spans="1:168" ht="16.5" thickTop="1" thickBot="1">
      <c r="A154" s="130" t="s">
        <v>167</v>
      </c>
      <c r="H154" s="123" t="s">
        <v>168</v>
      </c>
      <c r="L154" s="98"/>
      <c r="S154" s="130" t="s">
        <v>167</v>
      </c>
      <c r="Z154" s="123" t="s">
        <v>168</v>
      </c>
      <c r="AD154" s="98"/>
      <c r="AJ154" s="130" t="s">
        <v>167</v>
      </c>
      <c r="AQ154" s="123" t="s">
        <v>168</v>
      </c>
      <c r="AU154" s="98"/>
      <c r="BG154" s="389" t="s">
        <v>167</v>
      </c>
      <c r="BH154" s="390"/>
      <c r="BI154" s="390"/>
      <c r="BJ154" s="390"/>
      <c r="BK154" s="391"/>
      <c r="BL154" s="123"/>
      <c r="BM154" s="123"/>
      <c r="BN154" s="123" t="s">
        <v>168</v>
      </c>
      <c r="BO154" s="123"/>
      <c r="BP154" s="123"/>
      <c r="BQ154" s="123"/>
      <c r="BR154" s="123"/>
      <c r="BS154" s="98"/>
      <c r="FA154" s="4" t="s">
        <v>3</v>
      </c>
      <c r="FB154" s="100">
        <f>1.01438*10^9</f>
        <v>1014380000</v>
      </c>
      <c r="FC154" s="5">
        <f>1.88098*10^7</f>
        <v>18809800</v>
      </c>
      <c r="FD154" s="5">
        <f>7.22119*10^6</f>
        <v>7221190</v>
      </c>
      <c r="FE154" s="104">
        <f>SUM(FB154:FD154)</f>
        <v>1040410990</v>
      </c>
      <c r="FF154" s="123">
        <f>FD154/FC154</f>
        <v>0.38390572999181277</v>
      </c>
      <c r="FG154" s="123">
        <f>FB154/FC154</f>
        <v>53.92827143297643</v>
      </c>
      <c r="FH154" s="123" t="s">
        <v>4</v>
      </c>
      <c r="FI154" s="123">
        <v>1600</v>
      </c>
      <c r="FJ154" s="123"/>
      <c r="FK154" s="123"/>
      <c r="FL154" s="98"/>
    </row>
    <row r="155" spans="1:168" ht="15.75" thickTop="1">
      <c r="A155" s="1"/>
      <c r="B155" s="2" t="s">
        <v>0</v>
      </c>
      <c r="C155" s="2" t="s">
        <v>1</v>
      </c>
      <c r="D155" s="2" t="s">
        <v>2</v>
      </c>
      <c r="E155" s="3" t="s">
        <v>6</v>
      </c>
      <c r="F155" s="103" t="s">
        <v>70</v>
      </c>
      <c r="G155" s="103" t="s">
        <v>172</v>
      </c>
      <c r="H155" s="123" t="s">
        <v>3</v>
      </c>
      <c r="I155" s="123">
        <v>6</v>
      </c>
      <c r="K155" s="123" t="s">
        <v>19</v>
      </c>
      <c r="L155" s="98">
        <v>0.475526</v>
      </c>
      <c r="S155" s="1"/>
      <c r="T155" s="2" t="s">
        <v>0</v>
      </c>
      <c r="U155" s="2" t="s">
        <v>1</v>
      </c>
      <c r="V155" s="2" t="s">
        <v>2</v>
      </c>
      <c r="W155" s="3" t="s">
        <v>6</v>
      </c>
      <c r="X155" s="103" t="s">
        <v>70</v>
      </c>
      <c r="Y155" s="103" t="s">
        <v>172</v>
      </c>
      <c r="Z155" s="123" t="s">
        <v>3</v>
      </c>
      <c r="AA155" s="123">
        <v>12</v>
      </c>
      <c r="AC155" s="123" t="s">
        <v>19</v>
      </c>
      <c r="AD155" s="98">
        <v>0.27101599999999998</v>
      </c>
      <c r="AJ155" s="1"/>
      <c r="AK155" s="2" t="s">
        <v>0</v>
      </c>
      <c r="AL155" s="2" t="s">
        <v>1</v>
      </c>
      <c r="AM155" s="2" t="s">
        <v>2</v>
      </c>
      <c r="AN155" s="3" t="s">
        <v>6</v>
      </c>
      <c r="AO155" s="103" t="s">
        <v>70</v>
      </c>
      <c r="AP155" s="103" t="s">
        <v>172</v>
      </c>
      <c r="AQ155" s="123" t="s">
        <v>3</v>
      </c>
      <c r="AR155" s="123">
        <v>20</v>
      </c>
      <c r="AT155" s="123" t="s">
        <v>19</v>
      </c>
      <c r="AU155" s="98">
        <v>0.43196400000000001</v>
      </c>
      <c r="BG155" s="51"/>
      <c r="BH155" s="181" t="s">
        <v>0</v>
      </c>
      <c r="BI155" s="181" t="s">
        <v>1</v>
      </c>
      <c r="BJ155" s="181" t="s">
        <v>2</v>
      </c>
      <c r="BK155" s="182" t="s">
        <v>6</v>
      </c>
      <c r="BL155" s="103" t="s">
        <v>70</v>
      </c>
      <c r="BM155" s="103" t="s">
        <v>172</v>
      </c>
      <c r="BN155" s="123" t="s">
        <v>3</v>
      </c>
      <c r="BO155" s="123">
        <v>30</v>
      </c>
      <c r="BP155" s="123"/>
      <c r="BQ155" s="123" t="s">
        <v>19</v>
      </c>
      <c r="BR155" s="123">
        <v>0.110121</v>
      </c>
      <c r="BS155" s="98"/>
      <c r="FA155" s="4" t="s">
        <v>4</v>
      </c>
      <c r="FB155" s="5">
        <f>1.8827*10^7</f>
        <v>18827000</v>
      </c>
      <c r="FC155" s="5">
        <v>141758</v>
      </c>
      <c r="FD155" s="5">
        <v>54422</v>
      </c>
      <c r="FE155" s="106">
        <f t="shared" ref="FE155:FE157" si="501">SUM(FB155:FD155)</f>
        <v>19023180</v>
      </c>
      <c r="FF155" s="123">
        <f t="shared" ref="FF155:FF157" si="502">FD155/FC155</f>
        <v>0.38390778650940333</v>
      </c>
      <c r="FG155" s="123">
        <f t="shared" ref="FG155:FG157" si="503">FB155/FC155</f>
        <v>132.81084665415707</v>
      </c>
      <c r="FH155" s="123" t="s">
        <v>5</v>
      </c>
      <c r="FI155" s="123">
        <v>800</v>
      </c>
      <c r="FJ155" s="123"/>
      <c r="FK155" s="123"/>
      <c r="FL155" s="98"/>
    </row>
    <row r="156" spans="1:168">
      <c r="A156" s="4" t="s">
        <v>3</v>
      </c>
      <c r="B156" s="100">
        <v>101.111</v>
      </c>
      <c r="C156" s="5">
        <v>238.11099999999999</v>
      </c>
      <c r="D156" s="5">
        <v>163.75899999999999</v>
      </c>
      <c r="E156" s="104">
        <f>SUM(B156:D156)</f>
        <v>502.98099999999999</v>
      </c>
      <c r="F156" s="123">
        <f>D156/C156</f>
        <v>0.68774227146162925</v>
      </c>
      <c r="G156" s="123">
        <f>B156/C156</f>
        <v>0.42463808895851096</v>
      </c>
      <c r="H156" s="123" t="s">
        <v>4</v>
      </c>
      <c r="I156" s="123">
        <v>12</v>
      </c>
      <c r="L156" s="98"/>
      <c r="S156" s="4" t="s">
        <v>3</v>
      </c>
      <c r="T156" s="100">
        <v>39.501199999999997</v>
      </c>
      <c r="U156" s="5">
        <v>136.69900000000001</v>
      </c>
      <c r="V156" s="5">
        <v>42.427700000000002</v>
      </c>
      <c r="W156" s="104">
        <f>SUM(T156:V156)</f>
        <v>218.62790000000001</v>
      </c>
      <c r="X156" s="123">
        <f>V156/U156</f>
        <v>0.31037315561928031</v>
      </c>
      <c r="Y156" s="123">
        <f>T156/U156</f>
        <v>0.2889648058873876</v>
      </c>
      <c r="Z156" s="123" t="s">
        <v>4</v>
      </c>
      <c r="AA156" s="123">
        <v>20</v>
      </c>
      <c r="AD156" s="98"/>
      <c r="AJ156" s="4" t="s">
        <v>3</v>
      </c>
      <c r="AK156" s="100">
        <v>629.827</v>
      </c>
      <c r="AL156" s="5">
        <v>1259.0999999999999</v>
      </c>
      <c r="AM156" s="5">
        <v>1207.77</v>
      </c>
      <c r="AN156" s="104">
        <f>SUM(AK156:AM156)</f>
        <v>3096.6970000000001</v>
      </c>
      <c r="AO156" s="123">
        <f>AM156/AL156</f>
        <v>0.95923278532284972</v>
      </c>
      <c r="AP156" s="123">
        <f>AK156/AL156</f>
        <v>0.50021999841156384</v>
      </c>
      <c r="AQ156" s="123" t="s">
        <v>4</v>
      </c>
      <c r="AR156" s="123">
        <v>40</v>
      </c>
      <c r="AU156" s="98"/>
      <c r="BG156" s="54" t="s">
        <v>3</v>
      </c>
      <c r="BH156" s="188">
        <v>2290.41</v>
      </c>
      <c r="BI156" s="55">
        <v>4381.58</v>
      </c>
      <c r="BJ156" s="55">
        <v>731.71100000000001</v>
      </c>
      <c r="BK156" s="189">
        <f>SUM(BH156:BJ156)</f>
        <v>7403.701</v>
      </c>
      <c r="BL156" s="123">
        <f>BJ156/BI156</f>
        <v>0.16699706498569009</v>
      </c>
      <c r="BM156" s="123">
        <f>BH156/BI156</f>
        <v>0.52273609063397219</v>
      </c>
      <c r="BN156" s="123" t="s">
        <v>4</v>
      </c>
      <c r="BO156" s="123">
        <v>60</v>
      </c>
      <c r="BP156" s="123"/>
      <c r="BQ156" s="123"/>
      <c r="BR156" s="123"/>
      <c r="BS156" s="98"/>
      <c r="FA156" s="4" t="s">
        <v>5</v>
      </c>
      <c r="FB156" s="5">
        <f>7.20398*10^6</f>
        <v>7203980</v>
      </c>
      <c r="FC156" s="5">
        <v>71632.600000000006</v>
      </c>
      <c r="FD156" s="5">
        <v>27500.2</v>
      </c>
      <c r="FE156" s="108">
        <f t="shared" si="501"/>
        <v>7303112.7999999998</v>
      </c>
      <c r="FF156" s="123">
        <f t="shared" si="502"/>
        <v>0.3839062103008965</v>
      </c>
      <c r="FG156" s="123">
        <f t="shared" si="503"/>
        <v>100.56845626153455</v>
      </c>
      <c r="FH156" s="85" t="s">
        <v>49</v>
      </c>
      <c r="FI156" s="124">
        <f>FI153+FI154+FI155</f>
        <v>3400</v>
      </c>
      <c r="FJ156" s="123" t="s">
        <v>457</v>
      </c>
      <c r="FK156" s="123"/>
      <c r="FL156" s="98"/>
    </row>
    <row r="157" spans="1:168" ht="15.75" thickBot="1">
      <c r="A157" s="4" t="s">
        <v>4</v>
      </c>
      <c r="B157" s="5">
        <v>260.71199999999999</v>
      </c>
      <c r="C157" s="5">
        <v>576.41</v>
      </c>
      <c r="D157" s="5">
        <v>396.42200000000003</v>
      </c>
      <c r="E157" s="106">
        <f t="shared" ref="E157:E159" si="504">SUM(B157:D157)</f>
        <v>1233.5439999999999</v>
      </c>
      <c r="F157" s="123">
        <f t="shared" ref="F157:F159" si="505">D157/C157</f>
        <v>0.68774309952984858</v>
      </c>
      <c r="G157" s="123">
        <f t="shared" ref="G157:G159" si="506">B157/C157</f>
        <v>0.45230304817751255</v>
      </c>
      <c r="H157" s="123" t="s">
        <v>5</v>
      </c>
      <c r="I157" s="123">
        <v>4</v>
      </c>
      <c r="L157" s="98"/>
      <c r="S157" s="4" t="s">
        <v>4</v>
      </c>
      <c r="T157" s="5">
        <v>136.92500000000001</v>
      </c>
      <c r="U157" s="5">
        <v>1087.43</v>
      </c>
      <c r="V157" s="5">
        <v>337.50900000000001</v>
      </c>
      <c r="W157" s="106">
        <f t="shared" ref="W157:W159" si="507">SUM(T157:V157)</f>
        <v>1561.864</v>
      </c>
      <c r="X157" s="123">
        <f t="shared" ref="X157:X159" si="508">V157/U157</f>
        <v>0.3103730814857048</v>
      </c>
      <c r="Y157" s="123">
        <f t="shared" ref="Y157:Y159" si="509">T157/U157</f>
        <v>0.12591615092465722</v>
      </c>
      <c r="Z157" s="123" t="s">
        <v>5</v>
      </c>
      <c r="AA157" s="123">
        <v>8</v>
      </c>
      <c r="AD157" s="98"/>
      <c r="AJ157" s="4" t="s">
        <v>4</v>
      </c>
      <c r="AK157" s="5">
        <v>1446.41</v>
      </c>
      <c r="AL157" s="5">
        <v>483.85399999999998</v>
      </c>
      <c r="AM157" s="5">
        <v>464.13</v>
      </c>
      <c r="AN157" s="106">
        <f t="shared" ref="AN157:AN159" si="510">SUM(AK157:AM157)</f>
        <v>2394.3940000000002</v>
      </c>
      <c r="AO157" s="123">
        <f t="shared" ref="AO157:AO159" si="511">AM157/AL157</f>
        <v>0.95923563719634442</v>
      </c>
      <c r="AP157" s="123">
        <f t="shared" ref="AP157:AP159" si="512">AK157/AL157</f>
        <v>2.989352159949076</v>
      </c>
      <c r="AQ157" s="123" t="s">
        <v>5</v>
      </c>
      <c r="AR157" s="123">
        <v>15</v>
      </c>
      <c r="AU157" s="98"/>
      <c r="BG157" s="54" t="s">
        <v>4</v>
      </c>
      <c r="BH157" s="55">
        <v>4383.3599999999997</v>
      </c>
      <c r="BI157" s="55">
        <v>8538.86</v>
      </c>
      <c r="BJ157" s="55">
        <v>1425.96</v>
      </c>
      <c r="BK157" s="190">
        <f t="shared" ref="BK157:BK159" si="513">SUM(BH157:BJ157)</f>
        <v>14348.18</v>
      </c>
      <c r="BL157" s="123">
        <f t="shared" ref="BL157:BL159" si="514">BJ157/BI157</f>
        <v>0.16699653115287053</v>
      </c>
      <c r="BM157" s="123">
        <f t="shared" ref="BM157:BM159" si="515">BH157/BI157</f>
        <v>0.51334253050172962</v>
      </c>
      <c r="BN157" s="123" t="s">
        <v>5</v>
      </c>
      <c r="BO157" s="123">
        <v>25</v>
      </c>
      <c r="BP157" s="123"/>
      <c r="BQ157" s="123"/>
      <c r="BR157" s="123"/>
      <c r="BS157" s="98"/>
      <c r="FA157" s="7"/>
      <c r="FB157" s="105">
        <f>SUM(FB154:FB156)</f>
        <v>1040410980</v>
      </c>
      <c r="FC157" s="107">
        <f>SUM(FC154:FC156)</f>
        <v>19023190.600000001</v>
      </c>
      <c r="FD157" s="109">
        <f>SUM(FD154:FD156)</f>
        <v>7303112.2000000002</v>
      </c>
      <c r="FE157" s="101">
        <f t="shared" si="501"/>
        <v>1066737282.8000001</v>
      </c>
      <c r="FF157" s="123">
        <f t="shared" si="502"/>
        <v>0.38390574712530084</v>
      </c>
      <c r="FG157" s="123">
        <f t="shared" si="503"/>
        <v>54.691718223124987</v>
      </c>
      <c r="FH157" s="123"/>
      <c r="FI157" s="123"/>
      <c r="FJ157" s="123"/>
      <c r="FK157" s="123"/>
      <c r="FL157" s="98"/>
    </row>
    <row r="158" spans="1:168" ht="15.75" thickTop="1">
      <c r="A158" s="4" t="s">
        <v>5</v>
      </c>
      <c r="B158" s="5">
        <v>141.15799999999999</v>
      </c>
      <c r="C158" s="5">
        <v>419.024</v>
      </c>
      <c r="D158" s="5">
        <v>288.18099999999998</v>
      </c>
      <c r="E158" s="108">
        <f t="shared" si="504"/>
        <v>848.36300000000006</v>
      </c>
      <c r="F158" s="123">
        <f t="shared" si="505"/>
        <v>0.6877434228111039</v>
      </c>
      <c r="G158" s="123">
        <f t="shared" si="506"/>
        <v>0.33687330558631484</v>
      </c>
      <c r="L158" s="98"/>
      <c r="S158" s="4" t="s">
        <v>5</v>
      </c>
      <c r="T158" s="5">
        <v>42.201599999999999</v>
      </c>
      <c r="U158" s="5">
        <v>337.73500000000001</v>
      </c>
      <c r="V158" s="5">
        <v>104.824</v>
      </c>
      <c r="W158" s="108">
        <f t="shared" si="507"/>
        <v>484.76060000000001</v>
      </c>
      <c r="X158" s="123">
        <f t="shared" si="508"/>
        <v>0.31037351769878752</v>
      </c>
      <c r="Y158" s="123">
        <f t="shared" si="509"/>
        <v>0.12495477223266761</v>
      </c>
      <c r="AD158" s="98"/>
      <c r="AJ158" s="4" t="s">
        <v>5</v>
      </c>
      <c r="AK158" s="5">
        <v>1020.43</v>
      </c>
      <c r="AL158" s="5">
        <v>651.45600000000002</v>
      </c>
      <c r="AM158" s="5">
        <v>624.899</v>
      </c>
      <c r="AN158" s="108">
        <f t="shared" si="510"/>
        <v>2296.7849999999999</v>
      </c>
      <c r="AO158" s="123">
        <f t="shared" si="511"/>
        <v>0.95923439188525395</v>
      </c>
      <c r="AP158" s="123">
        <f t="shared" si="512"/>
        <v>1.5663836084094704</v>
      </c>
      <c r="AU158" s="98"/>
      <c r="BG158" s="54" t="s">
        <v>5</v>
      </c>
      <c r="BH158" s="55">
        <v>729.93</v>
      </c>
      <c r="BI158" s="55">
        <v>1427.74</v>
      </c>
      <c r="BJ158" s="55">
        <v>238.429</v>
      </c>
      <c r="BK158" s="191">
        <f t="shared" si="513"/>
        <v>2396.0990000000002</v>
      </c>
      <c r="BL158" s="123">
        <f t="shared" si="514"/>
        <v>0.16699749254065865</v>
      </c>
      <c r="BM158" s="123">
        <f t="shared" si="515"/>
        <v>0.51124854665415265</v>
      </c>
      <c r="BN158" s="123"/>
      <c r="BO158" s="123"/>
      <c r="BP158" s="123"/>
      <c r="BQ158" s="123"/>
      <c r="BR158" s="123"/>
      <c r="BS158" s="98"/>
      <c r="FA158" s="130"/>
      <c r="FB158" s="123"/>
      <c r="FC158" s="123"/>
      <c r="FD158" s="123"/>
      <c r="FE158" s="123"/>
      <c r="FF158" s="124" t="s">
        <v>420</v>
      </c>
      <c r="FG158" s="103">
        <f>AVERAGE(FG154:FG156)</f>
        <v>95.769191449556004</v>
      </c>
      <c r="FH158" s="123"/>
      <c r="FI158" s="123"/>
      <c r="FJ158" s="123"/>
      <c r="FK158" s="123"/>
      <c r="FL158" s="98"/>
    </row>
    <row r="159" spans="1:168" ht="15.75" thickBot="1">
      <c r="A159" s="7"/>
      <c r="B159" s="105">
        <f>SUM(B156:B158)</f>
        <v>502.98099999999999</v>
      </c>
      <c r="C159" s="107">
        <f>SUM(C156:C158)</f>
        <v>1233.5450000000001</v>
      </c>
      <c r="D159" s="109">
        <f>SUM(D156:D158)</f>
        <v>848.36200000000008</v>
      </c>
      <c r="E159" s="101">
        <f t="shared" si="504"/>
        <v>2584.8879999999999</v>
      </c>
      <c r="F159" s="123">
        <f t="shared" si="505"/>
        <v>0.68774304950366627</v>
      </c>
      <c r="G159" s="123">
        <f t="shared" si="506"/>
        <v>0.40775245329517767</v>
      </c>
      <c r="L159" s="98"/>
      <c r="S159" s="7"/>
      <c r="T159" s="105">
        <f>SUM(T156:T158)</f>
        <v>218.62779999999998</v>
      </c>
      <c r="U159" s="107">
        <f>SUM(U156:U158)</f>
        <v>1561.864</v>
      </c>
      <c r="V159" s="109">
        <f>SUM(V156:V158)</f>
        <v>484.76070000000004</v>
      </c>
      <c r="W159" s="101">
        <f t="shared" si="507"/>
        <v>2265.2525000000001</v>
      </c>
      <c r="X159" s="123">
        <f t="shared" si="508"/>
        <v>0.31037318230012345</v>
      </c>
      <c r="Y159" s="123">
        <f t="shared" si="509"/>
        <v>0.1399787689581167</v>
      </c>
      <c r="AD159" s="98"/>
      <c r="AJ159" s="7"/>
      <c r="AK159" s="105">
        <f>SUM(AK156:AK158)</f>
        <v>3096.6669999999999</v>
      </c>
      <c r="AL159" s="107">
        <f>SUM(AL156:AL158)</f>
        <v>2394.41</v>
      </c>
      <c r="AM159" s="109">
        <f>SUM(AM156:AM158)</f>
        <v>2296.799</v>
      </c>
      <c r="AN159" s="101">
        <f t="shared" si="510"/>
        <v>7787.8759999999993</v>
      </c>
      <c r="AO159" s="123">
        <f t="shared" si="511"/>
        <v>0.95923379872285874</v>
      </c>
      <c r="AP159" s="123">
        <f t="shared" si="512"/>
        <v>1.2932902051027184</v>
      </c>
      <c r="AU159" s="98"/>
      <c r="BG159" s="57"/>
      <c r="BH159" s="192">
        <f>SUM(BH156:BH158)</f>
        <v>7403.7</v>
      </c>
      <c r="BI159" s="193">
        <f>SUM(BI156:BI158)</f>
        <v>14348.18</v>
      </c>
      <c r="BJ159" s="194">
        <f>SUM(BJ156:BJ158)</f>
        <v>2396.1000000000004</v>
      </c>
      <c r="BK159" s="195">
        <f t="shared" si="513"/>
        <v>24147.980000000003</v>
      </c>
      <c r="BL159" s="123">
        <f t="shared" si="514"/>
        <v>0.16699678983675981</v>
      </c>
      <c r="BM159" s="123">
        <f t="shared" si="515"/>
        <v>0.51600272647820145</v>
      </c>
      <c r="BN159" s="123"/>
      <c r="BO159" s="123"/>
      <c r="BP159" s="123"/>
      <c r="BQ159" s="123"/>
      <c r="BR159" s="123"/>
      <c r="BS159" s="98"/>
      <c r="FA159" s="130"/>
      <c r="FB159" s="123"/>
      <c r="FC159" s="123"/>
      <c r="FD159" s="123"/>
      <c r="FE159" s="123"/>
      <c r="FF159" s="123"/>
      <c r="FG159" s="123"/>
      <c r="FH159" s="123"/>
      <c r="FI159" s="123"/>
      <c r="FJ159" s="123" t="s">
        <v>419</v>
      </c>
      <c r="FK159" s="123">
        <v>1.7999999999999999E-2</v>
      </c>
      <c r="FL159" s="98"/>
    </row>
    <row r="160" spans="1:168" ht="16.5" thickTop="1" thickBot="1">
      <c r="A160" s="130"/>
      <c r="F160" s="124" t="s">
        <v>420</v>
      </c>
      <c r="G160" s="103">
        <f>AVERAGE(G156:G158)</f>
        <v>0.40460481424077943</v>
      </c>
      <c r="L160" s="98"/>
      <c r="X160" s="124" t="s">
        <v>420</v>
      </c>
      <c r="Y160" s="103">
        <f>AVERAGE(Y156:Y158)</f>
        <v>0.17994524301490414</v>
      </c>
      <c r="AD160" s="98"/>
      <c r="AO160" s="124" t="s">
        <v>420</v>
      </c>
      <c r="AP160" s="103">
        <f>AVERAGE(AP156:AP158)</f>
        <v>1.6853185889233702</v>
      </c>
      <c r="AU160" s="98"/>
      <c r="BG160" s="196" t="s">
        <v>287</v>
      </c>
      <c r="BH160" s="208" t="s">
        <v>285</v>
      </c>
      <c r="BI160" s="182">
        <f>BR155</f>
        <v>0.110121</v>
      </c>
      <c r="BJ160" s="197"/>
      <c r="BK160" s="198"/>
      <c r="BL160" s="124" t="s">
        <v>420</v>
      </c>
      <c r="BM160" s="103">
        <f>AVERAGE(BM156:BM158)</f>
        <v>0.51577572259661819</v>
      </c>
      <c r="BN160" s="123"/>
      <c r="BO160" s="123"/>
      <c r="BP160" s="123"/>
      <c r="BQ160" s="123"/>
      <c r="BR160" s="123"/>
      <c r="BS160" s="98"/>
      <c r="FA160" s="140" t="s">
        <v>254</v>
      </c>
      <c r="FB160" s="123"/>
      <c r="FC160" s="123"/>
      <c r="FD160" s="123"/>
      <c r="FE160" s="123"/>
      <c r="FF160" s="123"/>
      <c r="FG160" s="123"/>
      <c r="FH160" s="123"/>
      <c r="FI160" s="123"/>
      <c r="FJ160" s="124" t="s">
        <v>218</v>
      </c>
      <c r="FK160" s="123"/>
      <c r="FL160" s="98"/>
    </row>
    <row r="161" spans="1:168" ht="16.5" thickTop="1" thickBot="1">
      <c r="A161" s="130"/>
      <c r="L161" s="98"/>
      <c r="AD161" s="98"/>
      <c r="AU161" s="98"/>
      <c r="BG161" s="199" t="s">
        <v>231</v>
      </c>
      <c r="BH161" s="209" t="s">
        <v>18</v>
      </c>
      <c r="BI161" s="59">
        <f>BL159</f>
        <v>0.16699678983675981</v>
      </c>
      <c r="BJ161" s="200"/>
      <c r="BK161" s="201"/>
      <c r="BL161" s="123"/>
      <c r="BM161" s="123"/>
      <c r="BN161" s="123"/>
      <c r="BO161" s="123"/>
      <c r="BP161" s="123"/>
      <c r="BQ161" s="123"/>
      <c r="BR161" s="123"/>
      <c r="BS161" s="98"/>
      <c r="FA161" s="1"/>
      <c r="FB161" s="2" t="s">
        <v>8</v>
      </c>
      <c r="FC161" s="2" t="s">
        <v>9</v>
      </c>
      <c r="FD161" s="2" t="s">
        <v>10</v>
      </c>
      <c r="FE161" s="3" t="s">
        <v>11</v>
      </c>
      <c r="FF161" s="103" t="s">
        <v>16</v>
      </c>
      <c r="FG161" s="103" t="s">
        <v>172</v>
      </c>
      <c r="FH161" s="124" t="s">
        <v>171</v>
      </c>
      <c r="FI161" s="123"/>
      <c r="FJ161" s="123">
        <f>0.13*FK159</f>
        <v>2.3400000000000001E-3</v>
      </c>
      <c r="FK161" s="103" t="s">
        <v>212</v>
      </c>
      <c r="FL161" s="98"/>
    </row>
    <row r="162" spans="1:168" ht="16.5" thickTop="1" thickBot="1">
      <c r="A162" s="140" t="s">
        <v>254</v>
      </c>
      <c r="J162" s="124" t="s">
        <v>218</v>
      </c>
      <c r="L162" s="98"/>
      <c r="S162" s="140" t="s">
        <v>254</v>
      </c>
      <c r="AB162" s="124" t="s">
        <v>218</v>
      </c>
      <c r="AD162" s="98"/>
      <c r="AJ162" s="140" t="s">
        <v>254</v>
      </c>
      <c r="AS162" s="124" t="s">
        <v>218</v>
      </c>
      <c r="AU162" s="98"/>
      <c r="BG162" s="389" t="s">
        <v>254</v>
      </c>
      <c r="BH162" s="390"/>
      <c r="BI162" s="390"/>
      <c r="BJ162" s="390"/>
      <c r="BK162" s="391"/>
      <c r="BL162" s="123"/>
      <c r="BM162" s="123"/>
      <c r="BN162" s="123"/>
      <c r="BO162" s="123"/>
      <c r="BP162" s="123"/>
      <c r="BQ162" s="124" t="s">
        <v>218</v>
      </c>
      <c r="BR162" s="123"/>
      <c r="BS162" s="98"/>
      <c r="FA162" s="4" t="s">
        <v>3</v>
      </c>
      <c r="FB162" s="100">
        <f>1.01119*10^9</f>
        <v>1011190000</v>
      </c>
      <c r="FC162" s="5">
        <f>1.88267*10^7</f>
        <v>18826700</v>
      </c>
      <c r="FD162" s="5">
        <f>7.12221*10^6</f>
        <v>7122210</v>
      </c>
      <c r="FE162" s="110">
        <f>SUM(FB162:FD162)</f>
        <v>1037138910</v>
      </c>
      <c r="FF162" s="123">
        <f>FD162/(FB162+FC162)</f>
        <v>6.914654878896624E-3</v>
      </c>
      <c r="FG162" s="123">
        <f>FB162/FC162</f>
        <v>53.710421900811085</v>
      </c>
      <c r="FH162" s="125">
        <f>ABS((FE165-FE157)/FE157)</f>
        <v>3.05128990284884E-3</v>
      </c>
      <c r="FI162" s="123"/>
      <c r="FJ162" s="123">
        <f>0.307*FK159</f>
        <v>5.5259999999999997E-3</v>
      </c>
      <c r="FK162" s="123" t="s">
        <v>213</v>
      </c>
      <c r="FL162" s="98"/>
    </row>
    <row r="163" spans="1:168" ht="15.75" thickTop="1">
      <c r="A163" s="1"/>
      <c r="B163" s="2" t="s">
        <v>8</v>
      </c>
      <c r="C163" s="2" t="s">
        <v>9</v>
      </c>
      <c r="D163" s="2" t="s">
        <v>10</v>
      </c>
      <c r="E163" s="3" t="s">
        <v>11</v>
      </c>
      <c r="F163" s="103" t="s">
        <v>16</v>
      </c>
      <c r="G163" s="103" t="s">
        <v>172</v>
      </c>
      <c r="H163" s="124" t="s">
        <v>171</v>
      </c>
      <c r="J163" s="123">
        <v>0.08</v>
      </c>
      <c r="K163" s="103" t="s">
        <v>212</v>
      </c>
      <c r="L163" s="98" t="s">
        <v>240</v>
      </c>
      <c r="S163" s="1"/>
      <c r="T163" s="2" t="s">
        <v>8</v>
      </c>
      <c r="U163" s="2" t="s">
        <v>9</v>
      </c>
      <c r="V163" s="2" t="s">
        <v>10</v>
      </c>
      <c r="W163" s="3" t="s">
        <v>11</v>
      </c>
      <c r="X163" s="103" t="s">
        <v>16</v>
      </c>
      <c r="Y163" s="103" t="s">
        <v>172</v>
      </c>
      <c r="Z163" s="124" t="s">
        <v>171</v>
      </c>
      <c r="AB163" s="123">
        <v>0.03</v>
      </c>
      <c r="AC163" s="103" t="s">
        <v>212</v>
      </c>
      <c r="AD163" s="98"/>
      <c r="AJ163" s="1"/>
      <c r="AK163" s="2" t="s">
        <v>8</v>
      </c>
      <c r="AL163" s="2" t="s">
        <v>9</v>
      </c>
      <c r="AM163" s="2" t="s">
        <v>10</v>
      </c>
      <c r="AN163" s="3" t="s">
        <v>11</v>
      </c>
      <c r="AO163" s="103" t="s">
        <v>16</v>
      </c>
      <c r="AP163" s="103" t="s">
        <v>172</v>
      </c>
      <c r="AQ163" s="124" t="s">
        <v>171</v>
      </c>
      <c r="AS163" s="123">
        <v>0.02</v>
      </c>
      <c r="AT163" s="103" t="s">
        <v>212</v>
      </c>
      <c r="AU163" s="98" t="s">
        <v>240</v>
      </c>
      <c r="BG163" s="51"/>
      <c r="BH163" s="181" t="s">
        <v>8</v>
      </c>
      <c r="BI163" s="181" t="s">
        <v>9</v>
      </c>
      <c r="BJ163" s="181" t="s">
        <v>10</v>
      </c>
      <c r="BK163" s="182" t="s">
        <v>11</v>
      </c>
      <c r="BL163" s="103" t="s">
        <v>16</v>
      </c>
      <c r="BM163" s="103" t="s">
        <v>172</v>
      </c>
      <c r="BN163" s="124" t="s">
        <v>171</v>
      </c>
      <c r="BO163" s="123"/>
      <c r="BP163" s="123"/>
      <c r="BQ163" s="123">
        <v>1.4999999999999999E-2</v>
      </c>
      <c r="BR163" s="103" t="s">
        <v>212</v>
      </c>
      <c r="BS163" s="98" t="s">
        <v>240</v>
      </c>
      <c r="FA163" s="4" t="s">
        <v>4</v>
      </c>
      <c r="FB163" s="5">
        <f>1.87677*10^7</f>
        <v>18767700</v>
      </c>
      <c r="FC163" s="5">
        <v>141886</v>
      </c>
      <c r="FD163" s="5">
        <v>130753</v>
      </c>
      <c r="FE163" s="112">
        <f t="shared" ref="FE163:FE164" si="516">SUM(FB163:FD163)</f>
        <v>19040339</v>
      </c>
      <c r="FF163" s="123">
        <f t="shared" ref="FF163:FF165" si="517">FD163/(FB163+FC163)</f>
        <v>6.9146410714650232E-3</v>
      </c>
      <c r="FG163" s="123">
        <f t="shared" ref="FG163:FG165" si="518">FB163/FC163</f>
        <v>132.27309248269736</v>
      </c>
      <c r="FH163" s="123"/>
      <c r="FI163" s="123"/>
      <c r="FJ163" s="123">
        <f>0.23*FK159</f>
        <v>4.1399999999999996E-3</v>
      </c>
      <c r="FK163" s="123" t="s">
        <v>214</v>
      </c>
      <c r="FL163" s="98"/>
    </row>
    <row r="164" spans="1:168">
      <c r="A164" s="4" t="s">
        <v>3</v>
      </c>
      <c r="B164" s="100">
        <v>103.84</v>
      </c>
      <c r="C164" s="5">
        <v>244.887</v>
      </c>
      <c r="D164" s="5">
        <v>165.828</v>
      </c>
      <c r="E164" s="110">
        <f>SUM(B164:D164)</f>
        <v>514.55499999999995</v>
      </c>
      <c r="F164" s="123">
        <f>D164/(B164+C164)</f>
        <v>0.47552383382990138</v>
      </c>
      <c r="G164" s="123">
        <f>B164/C164</f>
        <v>0.42403230877915121</v>
      </c>
      <c r="H164" s="125">
        <f>ABS((E167-E159)/E159)</f>
        <v>1.8384935827006697E-2</v>
      </c>
      <c r="J164" s="123">
        <f>J163</f>
        <v>0.08</v>
      </c>
      <c r="K164" s="123" t="s">
        <v>213</v>
      </c>
      <c r="L164" s="98" t="s">
        <v>241</v>
      </c>
      <c r="S164" s="4" t="s">
        <v>3</v>
      </c>
      <c r="T164" s="100">
        <v>40.777000000000001</v>
      </c>
      <c r="U164" s="5">
        <v>136.82400000000001</v>
      </c>
      <c r="V164" s="5">
        <v>48.1327</v>
      </c>
      <c r="W164" s="110">
        <f>SUM(T164:V164)</f>
        <v>225.7337</v>
      </c>
      <c r="X164" s="123">
        <f>V164/(T164+U164)</f>
        <v>0.27101592896436394</v>
      </c>
      <c r="Y164" s="123">
        <f>T164/U164</f>
        <v>0.29802520025726481</v>
      </c>
      <c r="Z164" s="125">
        <f>ABS((W167-W159)/W159)</f>
        <v>3.6149171008530629E-3</v>
      </c>
      <c r="AB164" s="123">
        <v>0.05</v>
      </c>
      <c r="AC164" s="123" t="s">
        <v>213</v>
      </c>
      <c r="AD164" s="98"/>
      <c r="AJ164" s="4" t="s">
        <v>3</v>
      </c>
      <c r="AK164" s="100">
        <v>557.03099999999995</v>
      </c>
      <c r="AL164" s="5">
        <v>1355.71</v>
      </c>
      <c r="AM164" s="5">
        <v>826.23699999999997</v>
      </c>
      <c r="AN164" s="110">
        <f>SUM(AK164:AM164)</f>
        <v>2738.9780000000001</v>
      </c>
      <c r="AO164" s="123">
        <f>AM164/(AK164+AL164)</f>
        <v>0.43196491317956792</v>
      </c>
      <c r="AP164" s="123">
        <f>AK164/AL164</f>
        <v>0.41087769508228156</v>
      </c>
      <c r="AQ164" s="125">
        <f>ABS((AN167-AN159)/AN159)</f>
        <v>2.2341264806989621E-2</v>
      </c>
      <c r="AS164" s="123">
        <v>0.06</v>
      </c>
      <c r="AT164" s="123" t="s">
        <v>213</v>
      </c>
      <c r="AU164" s="98" t="s">
        <v>241</v>
      </c>
      <c r="BG164" s="54" t="s">
        <v>3</v>
      </c>
      <c r="BH164" s="188">
        <v>2292.37</v>
      </c>
      <c r="BI164" s="55">
        <v>4382.18</v>
      </c>
      <c r="BJ164" s="55">
        <v>735.00800000000004</v>
      </c>
      <c r="BK164" s="202">
        <f>SUM(BH164:BJ164)</f>
        <v>7409.558</v>
      </c>
      <c r="BL164" s="123">
        <f>BJ164/(BH164+BI164)</f>
        <v>0.1101209819388573</v>
      </c>
      <c r="BM164" s="123">
        <f>BH164/BI164</f>
        <v>0.52311178454559137</v>
      </c>
      <c r="BN164" s="125">
        <f>ABS((BK167-BK159)/BK159)</f>
        <v>2.8768451853929301E-4</v>
      </c>
      <c r="BO164" s="123"/>
      <c r="BP164" s="123"/>
      <c r="BQ164" s="123">
        <f>BQ163</f>
        <v>1.4999999999999999E-2</v>
      </c>
      <c r="BR164" s="123" t="s">
        <v>213</v>
      </c>
      <c r="BS164" s="98" t="s">
        <v>241</v>
      </c>
      <c r="FA164" s="4" t="s">
        <v>5</v>
      </c>
      <c r="FB164" s="5">
        <f>7.18126*10^6</f>
        <v>7181260</v>
      </c>
      <c r="FC164" s="5">
        <v>71697.2</v>
      </c>
      <c r="FD164" s="5">
        <v>50151.9</v>
      </c>
      <c r="FE164" s="108">
        <f t="shared" si="516"/>
        <v>7303109.1000000006</v>
      </c>
      <c r="FF164" s="123">
        <f t="shared" si="517"/>
        <v>6.9146830206029616E-3</v>
      </c>
      <c r="FG164" s="123">
        <f t="shared" si="518"/>
        <v>100.16095468163331</v>
      </c>
      <c r="FH164" s="123"/>
      <c r="FI164" s="123" t="s">
        <v>397</v>
      </c>
      <c r="FJ164" s="123"/>
      <c r="FK164" s="103" t="s">
        <v>215</v>
      </c>
      <c r="FL164" s="98"/>
    </row>
    <row r="165" spans="1:168" ht="15.75" thickBot="1">
      <c r="A165" s="4" t="s">
        <v>4</v>
      </c>
      <c r="B165" s="5">
        <v>266.55399999999997</v>
      </c>
      <c r="C165" s="5">
        <v>593.81399999999996</v>
      </c>
      <c r="D165" s="5">
        <v>409.12700000000001</v>
      </c>
      <c r="E165" s="112">
        <f t="shared" ref="E165:E166" si="519">SUM(B165:D165)</f>
        <v>1269.4949999999999</v>
      </c>
      <c r="F165" s="123">
        <f t="shared" ref="F165:F167" si="520">D165/(B165+C165)</f>
        <v>0.47552558905026693</v>
      </c>
      <c r="G165" s="123">
        <f t="shared" ref="G165:G167" si="521">B165/C165</f>
        <v>0.44888466758951456</v>
      </c>
      <c r="J165" s="123">
        <f t="shared" ref="J165:J168" si="522">J164</f>
        <v>0.08</v>
      </c>
      <c r="K165" s="123" t="s">
        <v>214</v>
      </c>
      <c r="L165" s="98" t="s">
        <v>242</v>
      </c>
      <c r="S165" s="4" t="s">
        <v>4</v>
      </c>
      <c r="T165" s="5">
        <v>141.37299999999999</v>
      </c>
      <c r="U165" s="5">
        <v>1088.31</v>
      </c>
      <c r="V165" s="5">
        <v>333.26400000000001</v>
      </c>
      <c r="W165" s="112">
        <f t="shared" ref="W165:W166" si="523">SUM(T165:V165)</f>
        <v>1562.9470000000001</v>
      </c>
      <c r="X165" s="123">
        <f t="shared" ref="X165:X167" si="524">V165/(T165+U165)</f>
        <v>0.27101618872506167</v>
      </c>
      <c r="Y165" s="123">
        <f t="shared" ref="Y165:Y167" si="525">T165/U165</f>
        <v>0.12990140676829212</v>
      </c>
      <c r="AB165" s="123">
        <v>0.03</v>
      </c>
      <c r="AC165" s="123" t="s">
        <v>214</v>
      </c>
      <c r="AD165" s="98"/>
      <c r="AJ165" s="4" t="s">
        <v>4</v>
      </c>
      <c r="AK165" s="5">
        <v>1279.27</v>
      </c>
      <c r="AL165" s="5">
        <v>521.13</v>
      </c>
      <c r="AM165" s="5">
        <v>777.71100000000001</v>
      </c>
      <c r="AN165" s="112">
        <f t="shared" ref="AN165:AN166" si="526">SUM(AK165:AM165)</f>
        <v>2578.1109999999999</v>
      </c>
      <c r="AO165" s="123">
        <f t="shared" ref="AO165:AO167" si="527">AM165/(AK165+AL165)</f>
        <v>0.4319656742946012</v>
      </c>
      <c r="AP165" s="123">
        <f t="shared" ref="AP165:AP167" si="528">AK165/AL165</f>
        <v>2.4548001458369311</v>
      </c>
      <c r="AS165" s="123">
        <v>0.03</v>
      </c>
      <c r="AT165" s="123" t="s">
        <v>214</v>
      </c>
      <c r="AU165" s="98" t="s">
        <v>242</v>
      </c>
      <c r="BG165" s="54" t="s">
        <v>4</v>
      </c>
      <c r="BH165" s="55">
        <v>4386.6000000000004</v>
      </c>
      <c r="BI165" s="55">
        <v>8539.26</v>
      </c>
      <c r="BJ165" s="55">
        <v>1423.41</v>
      </c>
      <c r="BK165" s="203">
        <f t="shared" ref="BK165:BK166" si="529">SUM(BH165:BJ165)</f>
        <v>14349.27</v>
      </c>
      <c r="BL165" s="123">
        <f t="shared" ref="BL165:BL167" si="530">BJ165/(BH165+BI165)</f>
        <v>0.11012110606180169</v>
      </c>
      <c r="BM165" s="123">
        <f t="shared" ref="BM165:BM167" si="531">BH165/BI165</f>
        <v>0.51369790824966099</v>
      </c>
      <c r="BN165" s="123"/>
      <c r="BO165" s="123"/>
      <c r="BP165" s="123"/>
      <c r="BQ165" s="123">
        <f t="shared" ref="BQ165" si="532">BQ164</f>
        <v>1.4999999999999999E-2</v>
      </c>
      <c r="BR165" s="123" t="s">
        <v>214</v>
      </c>
      <c r="BS165" s="98" t="s">
        <v>242</v>
      </c>
      <c r="FA165" s="7"/>
      <c r="FB165" s="111">
        <f>SUM(FB162:FB164)</f>
        <v>1037138960</v>
      </c>
      <c r="FC165" s="113">
        <f t="shared" ref="FC165:FD165" si="533">SUM(FC162:FC164)</f>
        <v>19040283.199999999</v>
      </c>
      <c r="FD165" s="109">
        <f t="shared" si="533"/>
        <v>7303114.9000000004</v>
      </c>
      <c r="FE165" s="102">
        <f>SUM(FE162:FE164)</f>
        <v>1063482358.1</v>
      </c>
      <c r="FF165" s="123">
        <f t="shared" si="517"/>
        <v>6.9146548249453422E-3</v>
      </c>
      <c r="FG165" s="123">
        <f t="shared" si="518"/>
        <v>54.470773838069803</v>
      </c>
      <c r="FH165" s="123"/>
      <c r="FI165" s="123" t="s">
        <v>398</v>
      </c>
      <c r="FJ165" s="123"/>
      <c r="FK165" s="103" t="s">
        <v>216</v>
      </c>
      <c r="FL165" s="98"/>
    </row>
    <row r="166" spans="1:168" ht="15.75" thickTop="1">
      <c r="A166" s="4" t="s">
        <v>5</v>
      </c>
      <c r="B166" s="5">
        <v>144.161</v>
      </c>
      <c r="C166" s="5">
        <v>430.79399999999998</v>
      </c>
      <c r="D166" s="5">
        <v>273.40600000000001</v>
      </c>
      <c r="E166" s="108">
        <f t="shared" si="519"/>
        <v>848.36099999999988</v>
      </c>
      <c r="F166" s="123">
        <f t="shared" si="520"/>
        <v>0.47552591072344802</v>
      </c>
      <c r="G166" s="123">
        <f t="shared" si="521"/>
        <v>0.33464022247292213</v>
      </c>
      <c r="J166" s="123">
        <f t="shared" si="522"/>
        <v>0.08</v>
      </c>
      <c r="K166" s="103" t="s">
        <v>215</v>
      </c>
      <c r="L166" s="98" t="s">
        <v>243</v>
      </c>
      <c r="S166" s="4" t="s">
        <v>5</v>
      </c>
      <c r="T166" s="5">
        <v>43.583500000000001</v>
      </c>
      <c r="U166" s="5">
        <v>337.81299999999999</v>
      </c>
      <c r="V166" s="5">
        <v>103.364</v>
      </c>
      <c r="W166" s="108">
        <f t="shared" si="523"/>
        <v>484.76049999999998</v>
      </c>
      <c r="X166" s="123">
        <f t="shared" si="524"/>
        <v>0.27101454785243179</v>
      </c>
      <c r="Y166" s="123">
        <f t="shared" si="525"/>
        <v>0.12901664530376275</v>
      </c>
      <c r="AB166" s="103">
        <v>0.02</v>
      </c>
      <c r="AC166" s="103" t="s">
        <v>215</v>
      </c>
      <c r="AD166" s="98"/>
      <c r="AJ166" s="4" t="s">
        <v>5</v>
      </c>
      <c r="AK166" s="5">
        <v>902.67399999999998</v>
      </c>
      <c r="AL166" s="5">
        <v>701.274</v>
      </c>
      <c r="AM166" s="5">
        <v>692.84799999999996</v>
      </c>
      <c r="AN166" s="108">
        <f t="shared" si="526"/>
        <v>2296.7959999999998</v>
      </c>
      <c r="AO166" s="123">
        <f t="shared" si="527"/>
        <v>0.43196412851289445</v>
      </c>
      <c r="AP166" s="123">
        <f t="shared" si="528"/>
        <v>1.2871915970077317</v>
      </c>
      <c r="AS166" s="103">
        <v>2.1999999999999999E-2</v>
      </c>
      <c r="AT166" s="103" t="s">
        <v>215</v>
      </c>
      <c r="AU166" s="98" t="s">
        <v>243</v>
      </c>
      <c r="BG166" s="54" t="s">
        <v>5</v>
      </c>
      <c r="BH166" s="55">
        <v>730.59199999999998</v>
      </c>
      <c r="BI166" s="55">
        <v>1427.82</v>
      </c>
      <c r="BJ166" s="55">
        <v>237.68700000000001</v>
      </c>
      <c r="BK166" s="191">
        <f t="shared" si="529"/>
        <v>2396.0989999999997</v>
      </c>
      <c r="BL166" s="123">
        <f t="shared" si="530"/>
        <v>0.11012123728000031</v>
      </c>
      <c r="BM166" s="123">
        <f t="shared" si="531"/>
        <v>0.51168354554495665</v>
      </c>
      <c r="BN166" s="123"/>
      <c r="BO166" s="123"/>
      <c r="BP166" s="123"/>
      <c r="BQ166" s="123">
        <f t="shared" ref="BQ166" si="534">BQ165</f>
        <v>1.4999999999999999E-2</v>
      </c>
      <c r="BR166" s="103" t="s">
        <v>215</v>
      </c>
      <c r="BS166" s="98" t="s">
        <v>243</v>
      </c>
      <c r="FA166" s="130"/>
      <c r="FB166" s="123"/>
      <c r="FC166" s="123"/>
      <c r="FD166" s="123"/>
      <c r="FE166" s="123"/>
      <c r="FF166" s="124" t="s">
        <v>420</v>
      </c>
      <c r="FG166" s="103">
        <f>AVERAGE(FG162:FG164)</f>
        <v>95.381489688380597</v>
      </c>
      <c r="FH166" s="123"/>
      <c r="FI166" s="123" t="s">
        <v>399</v>
      </c>
      <c r="FJ166" s="123"/>
      <c r="FK166" s="103" t="s">
        <v>217</v>
      </c>
      <c r="FL166" s="98"/>
    </row>
    <row r="167" spans="1:168" ht="15.75" thickBot="1">
      <c r="A167" s="7"/>
      <c r="B167" s="111">
        <f>SUM(B164:B166)</f>
        <v>514.55500000000006</v>
      </c>
      <c r="C167" s="113">
        <f t="shared" ref="C167:D167" si="535">SUM(C164:C166)</f>
        <v>1269.4949999999999</v>
      </c>
      <c r="D167" s="109">
        <f t="shared" si="535"/>
        <v>848.3610000000001</v>
      </c>
      <c r="E167" s="102">
        <f>SUM(E164:E166)</f>
        <v>2632.4109999999996</v>
      </c>
      <c r="F167" s="123">
        <f t="shared" si="520"/>
        <v>0.47552534962585136</v>
      </c>
      <c r="G167" s="123">
        <f t="shared" si="521"/>
        <v>0.40532258890346168</v>
      </c>
      <c r="J167" s="123">
        <f t="shared" si="522"/>
        <v>0.08</v>
      </c>
      <c r="K167" s="103" t="s">
        <v>216</v>
      </c>
      <c r="L167" s="98" t="s">
        <v>244</v>
      </c>
      <c r="S167" s="7"/>
      <c r="T167" s="111">
        <f>SUM(T164:T166)</f>
        <v>225.73349999999999</v>
      </c>
      <c r="U167" s="113">
        <f t="shared" ref="U167:V167" si="536">SUM(U164:U166)</f>
        <v>1562.9470000000001</v>
      </c>
      <c r="V167" s="109">
        <f t="shared" si="536"/>
        <v>484.76070000000004</v>
      </c>
      <c r="W167" s="102">
        <f>SUM(W164:W166)</f>
        <v>2273.4412000000002</v>
      </c>
      <c r="X167" s="123">
        <f t="shared" si="524"/>
        <v>0.27101581305325351</v>
      </c>
      <c r="Y167" s="123">
        <f t="shared" si="525"/>
        <v>0.1444281220028574</v>
      </c>
      <c r="AB167" s="103">
        <v>7.0000000000000007E-2</v>
      </c>
      <c r="AC167" s="103" t="s">
        <v>216</v>
      </c>
      <c r="AD167" s="98"/>
      <c r="AJ167" s="7"/>
      <c r="AK167" s="111">
        <f>SUM(AK164:AK166)</f>
        <v>2738.9749999999999</v>
      </c>
      <c r="AL167" s="113">
        <f t="shared" ref="AL167:AM167" si="537">SUM(AL164:AL166)</f>
        <v>2578.114</v>
      </c>
      <c r="AM167" s="109">
        <f t="shared" si="537"/>
        <v>2296.7959999999998</v>
      </c>
      <c r="AN167" s="102">
        <f>SUM(AN164:AN166)</f>
        <v>7613.8850000000002</v>
      </c>
      <c r="AO167" s="123">
        <f t="shared" si="527"/>
        <v>0.43196493419613624</v>
      </c>
      <c r="AP167" s="123">
        <f t="shared" si="528"/>
        <v>1.0623948359149362</v>
      </c>
      <c r="AS167" s="103">
        <v>0.01</v>
      </c>
      <c r="AT167" s="103" t="s">
        <v>216</v>
      </c>
      <c r="AU167" s="98" t="s">
        <v>244</v>
      </c>
      <c r="BG167" s="57"/>
      <c r="BH167" s="204">
        <f>SUM(BH164:BH166)</f>
        <v>7409.5619999999999</v>
      </c>
      <c r="BI167" s="205">
        <f t="shared" ref="BI167:BJ167" si="538">SUM(BI164:BI166)</f>
        <v>14349.26</v>
      </c>
      <c r="BJ167" s="206">
        <f t="shared" si="538"/>
        <v>2396.105</v>
      </c>
      <c r="BK167" s="207">
        <f>SUM(BK164:BK166)</f>
        <v>24154.927</v>
      </c>
      <c r="BL167" s="123">
        <f t="shared" si="530"/>
        <v>0.11012108100337417</v>
      </c>
      <c r="BM167" s="123">
        <f t="shared" si="531"/>
        <v>0.51637241223589225</v>
      </c>
      <c r="BN167" s="123"/>
      <c r="BO167" s="123"/>
      <c r="BP167" s="123"/>
      <c r="BQ167" s="123">
        <f t="shared" ref="BQ167" si="539">BQ166</f>
        <v>1.4999999999999999E-2</v>
      </c>
      <c r="BR167" s="103" t="s">
        <v>216</v>
      </c>
      <c r="BS167" s="98" t="s">
        <v>244</v>
      </c>
      <c r="FA167" s="130" t="s">
        <v>12</v>
      </c>
      <c r="FB167" s="123">
        <f>FB162/FB154</f>
        <v>0.99685522190894926</v>
      </c>
      <c r="FC167" s="123" t="s">
        <v>163</v>
      </c>
      <c r="FD167" s="123">
        <f>FC162/FC154</f>
        <v>1.0008984678199662</v>
      </c>
      <c r="FE167" s="124" t="s">
        <v>255</v>
      </c>
      <c r="FF167" s="123"/>
      <c r="FG167" s="123"/>
      <c r="FH167" s="123"/>
      <c r="FI167" s="123"/>
      <c r="FJ167" s="124" t="s">
        <v>423</v>
      </c>
      <c r="FK167" s="123"/>
      <c r="FL167" s="98"/>
    </row>
    <row r="168" spans="1:168" ht="15.75" thickTop="1">
      <c r="A168" s="130"/>
      <c r="F168" s="124" t="s">
        <v>420</v>
      </c>
      <c r="G168" s="103">
        <f>AVERAGE(G164:G166)</f>
        <v>0.4025190662805293</v>
      </c>
      <c r="J168" s="123">
        <f t="shared" si="522"/>
        <v>0.08</v>
      </c>
      <c r="K168" s="103" t="s">
        <v>217</v>
      </c>
      <c r="L168" s="98" t="s">
        <v>245</v>
      </c>
      <c r="X168" s="124" t="s">
        <v>420</v>
      </c>
      <c r="Y168" s="103">
        <f>AVERAGE(Y164:Y166)</f>
        <v>0.18564775077643991</v>
      </c>
      <c r="AB168" s="103">
        <v>0.04</v>
      </c>
      <c r="AC168" s="103" t="s">
        <v>217</v>
      </c>
      <c r="AD168" s="98"/>
      <c r="AO168" s="124" t="s">
        <v>420</v>
      </c>
      <c r="AP168" s="103">
        <f>AVERAGE(AP164:AP166)</f>
        <v>1.3842898126423149</v>
      </c>
      <c r="AS168" s="103">
        <v>0.01</v>
      </c>
      <c r="AT168" s="103" t="s">
        <v>217</v>
      </c>
      <c r="AU168" s="98" t="s">
        <v>245</v>
      </c>
      <c r="BG168" s="130"/>
      <c r="BH168" s="123"/>
      <c r="BI168" s="123"/>
      <c r="BJ168" s="123"/>
      <c r="BK168" s="123"/>
      <c r="BL168" s="124" t="s">
        <v>420</v>
      </c>
      <c r="BM168" s="103">
        <f>AVERAGE(BM164:BM166)</f>
        <v>0.51616441278006964</v>
      </c>
      <c r="BN168" s="123"/>
      <c r="BO168" s="123"/>
      <c r="BP168" s="123"/>
      <c r="BQ168" s="123">
        <f t="shared" ref="BQ168" si="540">BQ167</f>
        <v>1.4999999999999999E-2</v>
      </c>
      <c r="BR168" s="103" t="s">
        <v>217</v>
      </c>
      <c r="BS168" s="98" t="s">
        <v>245</v>
      </c>
      <c r="FA168" s="130" t="s">
        <v>13</v>
      </c>
      <c r="FB168" s="123">
        <f t="shared" ref="FB168:FB169" si="541">FB163/FB155</f>
        <v>0.99685026823179479</v>
      </c>
      <c r="FC168" s="123" t="s">
        <v>164</v>
      </c>
      <c r="FD168" s="123">
        <f t="shared" ref="FD168:FD169" si="542">FC163/FC155</f>
        <v>1.0009029472763442</v>
      </c>
      <c r="FE168" s="123">
        <f>VAR(FG154:FG156)</f>
        <v>1572.8898754329275</v>
      </c>
      <c r="FF168" s="124">
        <f>STDEV(FG154:FG156)/FG158</f>
        <v>0.41411726552801037</v>
      </c>
      <c r="FG168" s="124" t="s">
        <v>449</v>
      </c>
      <c r="FH168" s="123"/>
      <c r="FI168" s="123"/>
      <c r="FJ168" s="123" t="s">
        <v>415</v>
      </c>
      <c r="FK168" s="123"/>
      <c r="FL168" s="98"/>
    </row>
    <row r="169" spans="1:168">
      <c r="A169" s="130" t="s">
        <v>12</v>
      </c>
      <c r="B169" s="123">
        <f>B164/B156</f>
        <v>1.0269901395496039</v>
      </c>
      <c r="C169" s="123" t="s">
        <v>163</v>
      </c>
      <c r="D169" s="123">
        <f>C164/C156</f>
        <v>1.0284573161256725</v>
      </c>
      <c r="E169" s="124" t="s">
        <v>255</v>
      </c>
      <c r="J169" s="124" t="s">
        <v>246</v>
      </c>
      <c r="L169" s="98"/>
      <c r="S169" s="130" t="s">
        <v>12</v>
      </c>
      <c r="T169" s="123">
        <f>T164/T156</f>
        <v>1.0322977529796564</v>
      </c>
      <c r="U169" s="123" t="s">
        <v>163</v>
      </c>
      <c r="V169" s="123">
        <f>U164/U156</f>
        <v>1.0009144178084697</v>
      </c>
      <c r="W169" s="124" t="s">
        <v>255</v>
      </c>
      <c r="AB169" s="138" t="s">
        <v>249</v>
      </c>
      <c r="AD169" s="98"/>
      <c r="AJ169" s="130" t="s">
        <v>12</v>
      </c>
      <c r="AK169" s="123">
        <f>AK164/AK156</f>
        <v>0.884419054756306</v>
      </c>
      <c r="AL169" s="123" t="s">
        <v>163</v>
      </c>
      <c r="AM169" s="123">
        <f>AL164/AL156</f>
        <v>1.0767294098959574</v>
      </c>
      <c r="AN169" s="124" t="s">
        <v>255</v>
      </c>
      <c r="AS169" s="138" t="s">
        <v>249</v>
      </c>
      <c r="AU169" s="98"/>
      <c r="BG169" s="130" t="s">
        <v>12</v>
      </c>
      <c r="BH169" s="123">
        <f>BH164/BH156</f>
        <v>1.0008557419850594</v>
      </c>
      <c r="BI169" s="123" t="s">
        <v>163</v>
      </c>
      <c r="BJ169" s="123">
        <f>BI164/BI156</f>
        <v>1.0001369369040394</v>
      </c>
      <c r="BK169" s="124" t="s">
        <v>255</v>
      </c>
      <c r="BL169" s="123"/>
      <c r="BM169" s="123"/>
      <c r="BN169" s="123"/>
      <c r="BO169" s="123"/>
      <c r="BP169" s="123"/>
      <c r="BQ169" s="124" t="s">
        <v>246</v>
      </c>
      <c r="BR169" s="123"/>
      <c r="BS169" s="98"/>
      <c r="FA169" s="130" t="s">
        <v>14</v>
      </c>
      <c r="FB169" s="123">
        <f t="shared" si="541"/>
        <v>0.99684618780174294</v>
      </c>
      <c r="FC169" s="123" t="s">
        <v>165</v>
      </c>
      <c r="FD169" s="123">
        <f t="shared" si="542"/>
        <v>1.0009018240298411</v>
      </c>
      <c r="FE169" s="123">
        <f>FE168/FG158</f>
        <v>16.423756446366234</v>
      </c>
      <c r="FF169" s="123"/>
      <c r="FG169" s="124" t="s">
        <v>438</v>
      </c>
      <c r="FH169" s="123"/>
      <c r="FI169" s="123"/>
      <c r="FJ169" s="123" t="s">
        <v>403</v>
      </c>
      <c r="FK169" s="123">
        <v>1</v>
      </c>
      <c r="FL169" s="98" t="s">
        <v>416</v>
      </c>
    </row>
    <row r="170" spans="1:168">
      <c r="A170" s="130" t="s">
        <v>13</v>
      </c>
      <c r="B170" s="123">
        <f t="shared" ref="B170:B171" si="543">B165/B157</f>
        <v>1.0224078676854154</v>
      </c>
      <c r="C170" s="123" t="s">
        <v>164</v>
      </c>
      <c r="D170" s="123">
        <f t="shared" ref="D170:D171" si="544">C165/C157</f>
        <v>1.0301937856733923</v>
      </c>
      <c r="E170" s="123">
        <f>VAR(G156:G158)</f>
        <v>3.6320054406046853E-3</v>
      </c>
      <c r="F170" s="124">
        <f>STDEV(G156:G158)/G160</f>
        <v>0.14895058019650328</v>
      </c>
      <c r="G170" s="124" t="s">
        <v>449</v>
      </c>
      <c r="L170" s="98"/>
      <c r="S170" s="130" t="s">
        <v>13</v>
      </c>
      <c r="T170" s="123">
        <f t="shared" ref="T170:T171" si="545">T165/T157</f>
        <v>1.0324849370093114</v>
      </c>
      <c r="U170" s="123" t="s">
        <v>164</v>
      </c>
      <c r="V170" s="123">
        <f t="shared" ref="V170:V171" si="546">U165/U157</f>
        <v>1.0008092474917925</v>
      </c>
      <c r="W170" s="123">
        <f>VAR(Y156:Y158)</f>
        <v>8.9141798789278762E-3</v>
      </c>
      <c r="X170" s="124">
        <f>STDEV(Y156:Y158)/Y160</f>
        <v>0.52468702720980109</v>
      </c>
      <c r="Y170" s="124" t="s">
        <v>449</v>
      </c>
      <c r="AD170" s="98"/>
      <c r="AJ170" s="130" t="s">
        <v>13</v>
      </c>
      <c r="AK170" s="123">
        <f t="shared" ref="AK170:AK171" si="547">AK165/AK157</f>
        <v>0.88444493608312991</v>
      </c>
      <c r="AL170" s="123" t="s">
        <v>164</v>
      </c>
      <c r="AM170" s="123">
        <f t="shared" ref="AM170:AM171" si="548">AL165/AL157</f>
        <v>1.0770397681945381</v>
      </c>
      <c r="AN170" s="123">
        <f>VAR(AP156:AP158)</f>
        <v>1.5595538765924823</v>
      </c>
      <c r="AO170" s="124">
        <f>STDEV(AP156:AP158)/AP160</f>
        <v>0.74099995266372565</v>
      </c>
      <c r="AP170" s="124" t="s">
        <v>449</v>
      </c>
      <c r="AU170" s="98"/>
      <c r="BG170" s="130" t="s">
        <v>13</v>
      </c>
      <c r="BH170" s="123">
        <f t="shared" ref="BH170:BH171" si="549">BH165/BH157</f>
        <v>1.0007391590013142</v>
      </c>
      <c r="BI170" s="123" t="s">
        <v>164</v>
      </c>
      <c r="BJ170" s="123">
        <f t="shared" ref="BJ170:BJ171" si="550">BI165/BI157</f>
        <v>1.0000468446607627</v>
      </c>
      <c r="BK170" s="123">
        <f>VAR(BM156:BM158)</f>
        <v>3.7431234500043124E-5</v>
      </c>
      <c r="BL170" s="124">
        <f>STDEV(BM156:BM158)/BM160</f>
        <v>1.186195245921857E-2</v>
      </c>
      <c r="BM170" s="124" t="s">
        <v>449</v>
      </c>
      <c r="BN170" s="123"/>
      <c r="BO170" s="123"/>
      <c r="BP170" s="123"/>
      <c r="BQ170" s="123"/>
      <c r="BR170" s="123"/>
      <c r="BS170" s="98"/>
      <c r="FA170" s="130" t="s">
        <v>15</v>
      </c>
      <c r="FB170" s="123">
        <f>FE162/FE154</f>
        <v>0.99685501207556448</v>
      </c>
      <c r="FC170" s="123" t="s">
        <v>67</v>
      </c>
      <c r="FD170" s="123">
        <f>FE163/FE155</f>
        <v>1.0009020048172808</v>
      </c>
      <c r="FE170" s="124" t="s">
        <v>256</v>
      </c>
      <c r="FF170" s="123"/>
      <c r="FG170" s="123"/>
      <c r="FH170" s="123"/>
      <c r="FI170" s="123"/>
      <c r="FJ170" s="123" t="s">
        <v>401</v>
      </c>
      <c r="FK170" s="123">
        <v>500</v>
      </c>
      <c r="FL170" s="98" t="s">
        <v>417</v>
      </c>
    </row>
    <row r="171" spans="1:168">
      <c r="A171" s="130" t="s">
        <v>14</v>
      </c>
      <c r="B171" s="123">
        <f t="shared" si="543"/>
        <v>1.0212740333526971</v>
      </c>
      <c r="C171" s="123" t="s">
        <v>165</v>
      </c>
      <c r="D171" s="123">
        <f t="shared" si="544"/>
        <v>1.0280890832028713</v>
      </c>
      <c r="G171" s="124" t="s">
        <v>438</v>
      </c>
      <c r="L171" s="98"/>
      <c r="S171" s="130" t="s">
        <v>14</v>
      </c>
      <c r="T171" s="123">
        <f t="shared" si="545"/>
        <v>1.0327452039733092</v>
      </c>
      <c r="U171" s="123" t="s">
        <v>165</v>
      </c>
      <c r="V171" s="123">
        <f t="shared" si="546"/>
        <v>1.0002309503012716</v>
      </c>
      <c r="Y171" s="124" t="s">
        <v>438</v>
      </c>
      <c r="AD171" s="98"/>
      <c r="AJ171" s="130" t="s">
        <v>14</v>
      </c>
      <c r="AK171" s="123">
        <f t="shared" si="547"/>
        <v>0.88460158952598411</v>
      </c>
      <c r="AL171" s="123" t="s">
        <v>165</v>
      </c>
      <c r="AM171" s="123">
        <f t="shared" si="548"/>
        <v>1.0764717801355732</v>
      </c>
      <c r="AP171" s="124" t="s">
        <v>438</v>
      </c>
      <c r="AU171" s="98"/>
      <c r="BG171" s="130" t="s">
        <v>14</v>
      </c>
      <c r="BH171" s="123">
        <f t="shared" si="549"/>
        <v>1.0009069362815612</v>
      </c>
      <c r="BI171" s="123" t="s">
        <v>165</v>
      </c>
      <c r="BJ171" s="123">
        <f t="shared" si="550"/>
        <v>1.0000560326109795</v>
      </c>
      <c r="BK171" s="123"/>
      <c r="BL171" s="123"/>
      <c r="BM171" s="124" t="s">
        <v>438</v>
      </c>
      <c r="BN171" s="123"/>
      <c r="BO171" s="123"/>
      <c r="BP171" s="123"/>
      <c r="BQ171" s="123"/>
      <c r="BR171" s="123"/>
      <c r="BS171" s="98"/>
      <c r="FA171" s="130" t="s">
        <v>170</v>
      </c>
      <c r="FB171" s="123">
        <f>VAR(FB167:FB169)</f>
        <v>2.0467319962333606E-11</v>
      </c>
      <c r="FC171" s="123" t="s">
        <v>170</v>
      </c>
      <c r="FD171" s="123">
        <f>VAR(FD167:FD169)</f>
        <v>5.4318928123449927E-12</v>
      </c>
      <c r="FE171" s="123">
        <f>VAR(FG162:FG164)</f>
        <v>1560.1557664557895</v>
      </c>
      <c r="FF171" s="124">
        <f>STDEV(FG162:FG164)/FG166</f>
        <v>0.41411396782920024</v>
      </c>
      <c r="FG171" s="124" t="s">
        <v>449</v>
      </c>
      <c r="FH171" s="123"/>
      <c r="FI171" s="123"/>
      <c r="FJ171" s="123"/>
      <c r="FK171" s="123"/>
      <c r="FL171" s="98"/>
    </row>
    <row r="172" spans="1:168">
      <c r="A172" s="130" t="s">
        <v>15</v>
      </c>
      <c r="B172" s="123">
        <f>E164/E156</f>
        <v>1.0230108095534423</v>
      </c>
      <c r="C172" s="123" t="s">
        <v>67</v>
      </c>
      <c r="D172" s="123">
        <f>E165/E157</f>
        <v>1.0291444812669837</v>
      </c>
      <c r="E172" s="124" t="s">
        <v>256</v>
      </c>
      <c r="L172" s="98"/>
      <c r="S172" s="130" t="s">
        <v>15</v>
      </c>
      <c r="T172" s="123">
        <f>W164/W156</f>
        <v>1.0325017987182787</v>
      </c>
      <c r="U172" s="123" t="s">
        <v>67</v>
      </c>
      <c r="V172" s="123">
        <f>W165/W157</f>
        <v>1.0006934022424487</v>
      </c>
      <c r="W172" s="124" t="s">
        <v>256</v>
      </c>
      <c r="AD172" s="98"/>
      <c r="AJ172" s="130" t="s">
        <v>15</v>
      </c>
      <c r="AK172" s="123">
        <f>AN164/AN156</f>
        <v>0.88448369343206645</v>
      </c>
      <c r="AL172" s="123" t="s">
        <v>67</v>
      </c>
      <c r="AM172" s="123">
        <f>AN165/AN157</f>
        <v>1.0767279737587045</v>
      </c>
      <c r="AN172" s="124" t="s">
        <v>256</v>
      </c>
      <c r="AU172" s="98"/>
      <c r="BG172" s="130" t="s">
        <v>15</v>
      </c>
      <c r="BH172" s="123">
        <f>BK164/BK156</f>
        <v>1.0007910908341653</v>
      </c>
      <c r="BI172" s="123" t="s">
        <v>67</v>
      </c>
      <c r="BJ172" s="123">
        <f>BK165/BK157</f>
        <v>1.0000759678230968</v>
      </c>
      <c r="BK172" s="124" t="s">
        <v>256</v>
      </c>
      <c r="BL172" s="123"/>
      <c r="BM172" s="123"/>
      <c r="BN172" s="123"/>
      <c r="BO172" s="123"/>
      <c r="BP172" s="123"/>
      <c r="BQ172" s="123"/>
      <c r="BR172" s="123"/>
      <c r="BS172" s="98"/>
      <c r="FA172" s="130"/>
      <c r="FB172" s="123"/>
      <c r="FC172" s="123"/>
      <c r="FD172" s="123"/>
      <c r="FE172" s="123">
        <f>FE171/FG166</f>
        <v>16.357007754365657</v>
      </c>
      <c r="FF172" s="123"/>
      <c r="FG172" s="124" t="s">
        <v>438</v>
      </c>
      <c r="FH172" s="123"/>
      <c r="FI172" s="123"/>
      <c r="FJ172" s="123"/>
      <c r="FK172" s="123"/>
      <c r="FL172" s="98"/>
    </row>
    <row r="173" spans="1:168">
      <c r="A173" s="130" t="s">
        <v>170</v>
      </c>
      <c r="B173" s="123">
        <f>VAR(B169:B171)</f>
        <v>9.1594442976170415E-6</v>
      </c>
      <c r="C173" s="123" t="s">
        <v>170</v>
      </c>
      <c r="D173" s="123">
        <f>VAR(D169:D171)</f>
        <v>1.2634490775016511E-6</v>
      </c>
      <c r="E173" s="123">
        <f>VAR(G164:G166)</f>
        <v>3.6100630121029265E-3</v>
      </c>
      <c r="F173" s="124">
        <f>STDEV(G164:G166)/G168</f>
        <v>0.14926945068510969</v>
      </c>
      <c r="G173" s="124" t="s">
        <v>449</v>
      </c>
      <c r="L173" s="98"/>
      <c r="S173" s="130" t="s">
        <v>170</v>
      </c>
      <c r="T173" s="123">
        <f>VAR(T169:T171)</f>
        <v>5.0498190871216017E-8</v>
      </c>
      <c r="U173" s="123" t="s">
        <v>170</v>
      </c>
      <c r="V173" s="123">
        <f>VAR(V169:V171)</f>
        <v>1.3543604491163207E-7</v>
      </c>
      <c r="W173" s="123">
        <f>VAR(Y164:Y166)</f>
        <v>9.471714064573783E-3</v>
      </c>
      <c r="X173" s="124">
        <f>STDEV(Y164:Y166)/Y168</f>
        <v>0.524233291717493</v>
      </c>
      <c r="Y173" s="124" t="s">
        <v>449</v>
      </c>
      <c r="AD173" s="98"/>
      <c r="AJ173" s="130" t="s">
        <v>170</v>
      </c>
      <c r="AK173" s="123">
        <f>VAR(AK169:AK171)</f>
        <v>9.7548477296137274E-9</v>
      </c>
      <c r="AL173" s="123" t="s">
        <v>170</v>
      </c>
      <c r="AM173" s="123">
        <f>VAR(AM169:AM171)</f>
        <v>8.0884300343359034E-8</v>
      </c>
      <c r="AN173" s="123">
        <f>VAR(AP164:AP166)</f>
        <v>1.0514757937842876</v>
      </c>
      <c r="AO173" s="124">
        <f>STDEV(AP164:AP166)/AP168</f>
        <v>0.74075163163561097</v>
      </c>
      <c r="AP173" s="124" t="s">
        <v>449</v>
      </c>
      <c r="AU173" s="98"/>
      <c r="BG173" s="130" t="s">
        <v>170</v>
      </c>
      <c r="BH173" s="123">
        <f>VAR(BH169:BH171)</f>
        <v>7.3936106433959346E-9</v>
      </c>
      <c r="BI173" s="123" t="s">
        <v>170</v>
      </c>
      <c r="BJ173" s="123">
        <f>VAR(BJ169:BJ171)</f>
        <v>2.457755893888778E-9</v>
      </c>
      <c r="BK173" s="123">
        <f>VAR(BM164:BM166)</f>
        <v>3.7213895112802026E-5</v>
      </c>
      <c r="BL173" s="124">
        <f>STDEV(BM164:BM166)/BM168</f>
        <v>1.1818558413064357E-2</v>
      </c>
      <c r="BM173" s="124" t="s">
        <v>449</v>
      </c>
      <c r="BN173" s="123"/>
      <c r="BO173" s="123"/>
      <c r="BP173" s="123"/>
      <c r="BQ173" s="123"/>
      <c r="BR173" s="123"/>
      <c r="BS173" s="98"/>
      <c r="FA173" s="130"/>
      <c r="FB173" s="123"/>
      <c r="FC173" s="123"/>
      <c r="FD173" s="123" t="s">
        <v>444</v>
      </c>
      <c r="FE173" s="123"/>
      <c r="FF173" s="123"/>
      <c r="FG173" s="123"/>
      <c r="FH173" s="123"/>
      <c r="FI173" s="123"/>
      <c r="FJ173" s="123"/>
      <c r="FK173" s="123"/>
      <c r="FL173" s="98"/>
    </row>
    <row r="174" spans="1:168">
      <c r="A174" s="130"/>
      <c r="G174" s="124" t="s">
        <v>438</v>
      </c>
      <c r="L174" s="98"/>
      <c r="Y174" s="124" t="s">
        <v>438</v>
      </c>
      <c r="AD174" s="98"/>
      <c r="AP174" s="124" t="s">
        <v>438</v>
      </c>
      <c r="AU174" s="98"/>
      <c r="BG174" s="130"/>
      <c r="BH174" s="123"/>
      <c r="BI174" s="123"/>
      <c r="BJ174" s="123"/>
      <c r="BK174" s="123"/>
      <c r="BL174" s="123"/>
      <c r="BM174" s="124" t="s">
        <v>438</v>
      </c>
      <c r="BN174" s="123"/>
      <c r="BO174" s="123"/>
      <c r="BP174" s="123"/>
      <c r="BQ174" s="123"/>
      <c r="BR174" s="123"/>
      <c r="BS174" s="98"/>
      <c r="FA174" s="130"/>
      <c r="FB174" s="123">
        <f>FB167</f>
        <v>0.99685522190894926</v>
      </c>
      <c r="FC174" s="123"/>
      <c r="FD174" s="123">
        <f>ABS(FC162-FB163)/FC162</f>
        <v>3.1338471426219146E-3</v>
      </c>
      <c r="FE174" s="123" t="s">
        <v>446</v>
      </c>
      <c r="FF174" s="123"/>
      <c r="FG174" s="123"/>
      <c r="FH174" s="123"/>
      <c r="FI174" s="123"/>
      <c r="FJ174" s="123"/>
      <c r="FK174" s="123"/>
      <c r="FL174" s="98"/>
    </row>
    <row r="175" spans="1:168">
      <c r="A175" s="130"/>
      <c r="D175" s="123" t="s">
        <v>444</v>
      </c>
      <c r="L175" s="98"/>
      <c r="V175" s="123" t="s">
        <v>444</v>
      </c>
      <c r="AD175" s="98"/>
      <c r="AM175" s="123" t="s">
        <v>444</v>
      </c>
      <c r="AU175" s="98"/>
      <c r="BG175" s="130"/>
      <c r="BH175" s="123"/>
      <c r="BI175" s="123"/>
      <c r="BJ175" s="123" t="s">
        <v>444</v>
      </c>
      <c r="BK175" s="123"/>
      <c r="BL175" s="123"/>
      <c r="BM175" s="123"/>
      <c r="BN175" s="123"/>
      <c r="BO175" s="123"/>
      <c r="BP175" s="123"/>
      <c r="BQ175" s="123"/>
      <c r="BR175" s="123"/>
      <c r="BS175" s="98"/>
      <c r="FA175" s="130"/>
      <c r="FB175" s="123">
        <f t="shared" ref="FB175:FB176" si="551">FB168</f>
        <v>0.99685026823179479</v>
      </c>
      <c r="FC175" s="123"/>
      <c r="FD175" s="123">
        <f>ABS((FC154-FB155)/FC154)</f>
        <v>9.1441695286499593E-4</v>
      </c>
      <c r="FE175" s="123" t="s">
        <v>445</v>
      </c>
      <c r="FF175" s="123"/>
      <c r="FG175" s="123"/>
      <c r="FH175" s="123"/>
      <c r="FI175" s="123"/>
      <c r="FJ175" s="123"/>
      <c r="FK175" s="123"/>
      <c r="FL175" s="98"/>
    </row>
    <row r="176" spans="1:168">
      <c r="A176" s="130"/>
      <c r="B176" s="123">
        <f>B169</f>
        <v>1.0269901395496039</v>
      </c>
      <c r="D176" s="123">
        <f>ABS(C164-B165)/C164</f>
        <v>8.8477542703369202E-2</v>
      </c>
      <c r="E176" s="123" t="s">
        <v>446</v>
      </c>
      <c r="L176" s="98"/>
      <c r="T176" s="123">
        <f>T169</f>
        <v>1.0322977529796564</v>
      </c>
      <c r="V176" s="123">
        <f>ABS(U164-T165)/U164</f>
        <v>3.3247091153598619E-2</v>
      </c>
      <c r="W176" s="123" t="s">
        <v>446</v>
      </c>
      <c r="AD176" s="98"/>
      <c r="AK176" s="123">
        <f>AK169</f>
        <v>0.884419054756306</v>
      </c>
      <c r="AM176" s="123">
        <f>ABS(AL164-AK165)/AL164</f>
        <v>5.6383739885373756E-2</v>
      </c>
      <c r="AN176" s="123" t="s">
        <v>446</v>
      </c>
      <c r="AU176" s="98"/>
      <c r="BG176" s="130"/>
      <c r="BH176" s="123">
        <f>BH169</f>
        <v>1.0008557419850594</v>
      </c>
      <c r="BI176" s="123"/>
      <c r="BJ176" s="123">
        <f>ABS(BI164-BH165)/BI164</f>
        <v>1.0086304076966424E-3</v>
      </c>
      <c r="BK176" s="123" t="s">
        <v>446</v>
      </c>
      <c r="BL176" s="123"/>
      <c r="BM176" s="123"/>
      <c r="BN176" s="123"/>
      <c r="BO176" s="123"/>
      <c r="BP176" s="123"/>
      <c r="BQ176" s="123"/>
      <c r="BR176" s="123"/>
      <c r="BS176" s="98"/>
      <c r="FA176" s="130"/>
      <c r="FB176" s="123">
        <f t="shared" si="551"/>
        <v>0.99684618780174294</v>
      </c>
      <c r="FC176" s="123"/>
      <c r="FD176" s="123"/>
      <c r="FE176" s="123"/>
      <c r="FF176" s="123"/>
      <c r="FG176" s="123"/>
      <c r="FH176" s="123"/>
      <c r="FI176" s="123"/>
      <c r="FJ176" s="123"/>
      <c r="FK176" s="123"/>
      <c r="FL176" s="98"/>
    </row>
    <row r="177" spans="1:168">
      <c r="A177" s="130"/>
      <c r="B177" s="123">
        <f t="shared" ref="B177:B178" si="552">B170</f>
        <v>1.0224078676854154</v>
      </c>
      <c r="D177" s="123">
        <f>ABS((C156-B157)/C156)</f>
        <v>9.4917916433932076E-2</v>
      </c>
      <c r="E177" s="123" t="s">
        <v>445</v>
      </c>
      <c r="L177" s="98"/>
      <c r="T177" s="123">
        <f t="shared" ref="T177:T178" si="553">T170</f>
        <v>1.0324849370093114</v>
      </c>
      <c r="V177" s="123">
        <f>ABS((U156-T157)/U156)</f>
        <v>1.6532673977132171E-3</v>
      </c>
      <c r="W177" s="123" t="s">
        <v>445</v>
      </c>
      <c r="AD177" s="98"/>
      <c r="AK177" s="123">
        <f t="shared" ref="AK177:AK178" si="554">AK170</f>
        <v>0.88444493608312991</v>
      </c>
      <c r="AM177" s="123">
        <f>ABS((AL156-AK157)/AL156)</f>
        <v>0.14876499086649209</v>
      </c>
      <c r="AN177" s="123" t="s">
        <v>445</v>
      </c>
      <c r="AU177" s="98"/>
      <c r="BG177" s="130"/>
      <c r="BH177" s="123">
        <f t="shared" ref="BH177:BH178" si="555">BH170</f>
        <v>1.0007391590013142</v>
      </c>
      <c r="BI177" s="123"/>
      <c r="BJ177" s="123">
        <f>ABS((BI156-BH157)/BI156)</f>
        <v>4.0624614864951579E-4</v>
      </c>
      <c r="BK177" s="123" t="s">
        <v>445</v>
      </c>
      <c r="BL177" s="123"/>
      <c r="BM177" s="123"/>
      <c r="BN177" s="123"/>
      <c r="BO177" s="123"/>
      <c r="BP177" s="123"/>
      <c r="BQ177" s="123"/>
      <c r="BR177" s="123"/>
      <c r="BS177" s="98"/>
      <c r="FA177" s="130"/>
      <c r="FB177" s="123">
        <f>FD167</f>
        <v>1.0008984678199662</v>
      </c>
      <c r="FC177" s="123"/>
      <c r="FD177" s="123"/>
      <c r="FE177" s="123"/>
      <c r="FF177" s="123"/>
      <c r="FG177" s="123"/>
      <c r="FH177" s="123"/>
      <c r="FI177" s="123"/>
      <c r="FJ177" s="123"/>
      <c r="FK177" s="123"/>
      <c r="FL177" s="98"/>
    </row>
    <row r="178" spans="1:168">
      <c r="A178" s="130"/>
      <c r="B178" s="123">
        <f t="shared" si="552"/>
        <v>1.0212740333526971</v>
      </c>
      <c r="L178" s="98"/>
      <c r="T178" s="123">
        <f t="shared" si="553"/>
        <v>1.0327452039733092</v>
      </c>
      <c r="AD178" s="98"/>
      <c r="AK178" s="123">
        <f t="shared" si="554"/>
        <v>0.88460158952598411</v>
      </c>
      <c r="AU178" s="98"/>
      <c r="BG178" s="130"/>
      <c r="BH178" s="123">
        <f t="shared" si="555"/>
        <v>1.0009069362815612</v>
      </c>
      <c r="BI178" s="123"/>
      <c r="BJ178" s="123"/>
      <c r="BK178" s="123"/>
      <c r="BL178" s="123"/>
      <c r="BM178" s="123"/>
      <c r="BN178" s="123"/>
      <c r="BO178" s="123"/>
      <c r="BP178" s="123"/>
      <c r="BQ178" s="123"/>
      <c r="BR178" s="123"/>
      <c r="BS178" s="98"/>
      <c r="FA178" s="130"/>
      <c r="FB178" s="123">
        <f t="shared" ref="FB178:FB179" si="556">FD168</f>
        <v>1.0009029472763442</v>
      </c>
      <c r="FC178" s="123"/>
      <c r="FD178" s="123"/>
      <c r="FE178" s="123"/>
      <c r="FF178" s="123"/>
      <c r="FG178" s="123"/>
      <c r="FH178" s="123"/>
      <c r="FI178" s="123"/>
      <c r="FJ178" s="123"/>
      <c r="FK178" s="123"/>
      <c r="FL178" s="98"/>
    </row>
    <row r="179" spans="1:168">
      <c r="A179" s="130"/>
      <c r="B179" s="123">
        <f>D169</f>
        <v>1.0284573161256725</v>
      </c>
      <c r="L179" s="98"/>
      <c r="T179" s="123">
        <f>V169</f>
        <v>1.0009144178084697</v>
      </c>
      <c r="AD179" s="98"/>
      <c r="AK179" s="123">
        <f>AM169</f>
        <v>1.0767294098959574</v>
      </c>
      <c r="AU179" s="98"/>
      <c r="BG179" s="130"/>
      <c r="BH179" s="123">
        <f>BJ169</f>
        <v>1.0001369369040394</v>
      </c>
      <c r="BI179" s="123"/>
      <c r="BJ179" s="123"/>
      <c r="BK179" s="123"/>
      <c r="BL179" s="123"/>
      <c r="BM179" s="123"/>
      <c r="BN179" s="123"/>
      <c r="BO179" s="123"/>
      <c r="BP179" s="123"/>
      <c r="BQ179" s="123"/>
      <c r="BR179" s="123"/>
      <c r="BS179" s="98"/>
      <c r="FA179" s="130"/>
      <c r="FB179" s="123">
        <f t="shared" si="556"/>
        <v>1.0009018240298411</v>
      </c>
      <c r="FC179" s="123"/>
      <c r="FD179" s="123"/>
      <c r="FE179" s="123"/>
      <c r="FF179" s="123"/>
      <c r="FG179" s="123"/>
      <c r="FH179" s="123"/>
      <c r="FI179" s="123"/>
      <c r="FJ179" s="123"/>
      <c r="FK179" s="123"/>
      <c r="FL179" s="98"/>
    </row>
    <row r="180" spans="1:168" ht="15.75" thickBot="1">
      <c r="A180" s="130"/>
      <c r="B180" s="123">
        <f t="shared" ref="B180:B181" si="557">D170</f>
        <v>1.0301937856733923</v>
      </c>
      <c r="L180" s="98"/>
      <c r="T180" s="123">
        <f t="shared" ref="T180:T181" si="558">V170</f>
        <v>1.0008092474917925</v>
      </c>
      <c r="AD180" s="98"/>
      <c r="AK180" s="123">
        <f t="shared" ref="AK180:AK181" si="559">AM170</f>
        <v>1.0770397681945381</v>
      </c>
      <c r="AU180" s="98"/>
      <c r="BG180" s="130"/>
      <c r="BH180" s="123">
        <f t="shared" ref="BH180:BH181" si="560">BJ170</f>
        <v>1.0000468446607627</v>
      </c>
      <c r="BI180" s="123"/>
      <c r="BJ180" s="123"/>
      <c r="BK180" s="123"/>
      <c r="BL180" s="123"/>
      <c r="BM180" s="123"/>
      <c r="BN180" s="123"/>
      <c r="BO180" s="123"/>
      <c r="BP180" s="123"/>
      <c r="BQ180" s="123"/>
      <c r="BR180" s="123"/>
      <c r="BS180" s="98"/>
      <c r="FA180" s="131" t="s">
        <v>170</v>
      </c>
      <c r="FB180" s="126">
        <f>VAR(FB174:FB179)</f>
        <v>4.922024999696462E-6</v>
      </c>
      <c r="FC180" s="126"/>
      <c r="FD180" s="126"/>
      <c r="FE180" s="126"/>
      <c r="FF180" s="126"/>
      <c r="FG180" s="126"/>
      <c r="FH180" s="126"/>
      <c r="FI180" s="126"/>
      <c r="FJ180" s="126"/>
      <c r="FK180" s="126"/>
      <c r="FL180" s="127"/>
    </row>
    <row r="181" spans="1:168" ht="15.75" thickTop="1">
      <c r="A181" s="130"/>
      <c r="B181" s="123">
        <f t="shared" si="557"/>
        <v>1.0280890832028713</v>
      </c>
      <c r="L181" s="98"/>
      <c r="T181" s="123">
        <f t="shared" si="558"/>
        <v>1.0002309503012716</v>
      </c>
      <c r="AD181" s="98"/>
      <c r="AK181" s="123">
        <f t="shared" si="559"/>
        <v>1.0764717801355732</v>
      </c>
      <c r="AU181" s="98"/>
      <c r="BG181" s="130"/>
      <c r="BH181" s="123">
        <f t="shared" si="560"/>
        <v>1.0000560326109795</v>
      </c>
      <c r="BI181" s="123"/>
      <c r="BJ181" s="123"/>
      <c r="BK181" s="123"/>
      <c r="BL181" s="123"/>
      <c r="BM181" s="123"/>
      <c r="BN181" s="123"/>
      <c r="BO181" s="123"/>
      <c r="BP181" s="123"/>
      <c r="BQ181" s="123"/>
      <c r="BR181" s="123"/>
      <c r="BS181" s="98"/>
      <c r="FA181" s="128"/>
      <c r="FB181" s="121"/>
      <c r="FC181" s="121"/>
      <c r="FD181" s="121"/>
      <c r="FE181" s="121"/>
      <c r="FF181" s="133" t="s">
        <v>239</v>
      </c>
      <c r="FG181" s="121"/>
      <c r="FH181" s="121"/>
      <c r="FI181" s="129" t="s">
        <v>463</v>
      </c>
      <c r="FJ181" s="121"/>
      <c r="FK181" s="121"/>
      <c r="FL181" s="122"/>
    </row>
    <row r="182" spans="1:168" ht="15.75" thickBot="1">
      <c r="A182" s="131" t="s">
        <v>170</v>
      </c>
      <c r="B182" s="126">
        <f>VAR(B176:B181)</f>
        <v>1.2775332847254767E-5</v>
      </c>
      <c r="C182" s="126"/>
      <c r="D182" s="126"/>
      <c r="E182" s="126"/>
      <c r="F182" s="126"/>
      <c r="G182" s="126"/>
      <c r="H182" s="126"/>
      <c r="I182" s="126"/>
      <c r="J182" s="126"/>
      <c r="K182" s="126"/>
      <c r="L182" s="127"/>
      <c r="S182" s="131" t="s">
        <v>170</v>
      </c>
      <c r="T182" s="126">
        <f>VAR(T176:T181)</f>
        <v>3.0454942491498361E-4</v>
      </c>
      <c r="U182" s="126"/>
      <c r="V182" s="126"/>
      <c r="W182" s="126"/>
      <c r="X182" s="126"/>
      <c r="Y182" s="126"/>
      <c r="Z182" s="126"/>
      <c r="AA182" s="126"/>
      <c r="AB182" s="126"/>
      <c r="AC182" s="126"/>
      <c r="AD182" s="127"/>
      <c r="AJ182" s="131" t="s">
        <v>170</v>
      </c>
      <c r="AK182" s="126">
        <f>VAR(AK176:AK181)</f>
        <v>1.1089030805869449E-2</v>
      </c>
      <c r="AL182" s="126"/>
      <c r="AM182" s="126"/>
      <c r="AN182" s="126"/>
      <c r="AO182" s="126"/>
      <c r="AP182" s="126"/>
      <c r="AQ182" s="126"/>
      <c r="AR182" s="126"/>
      <c r="AS182" s="126"/>
      <c r="AT182" s="126"/>
      <c r="AU182" s="127"/>
      <c r="BG182" s="131" t="s">
        <v>170</v>
      </c>
      <c r="BH182" s="126">
        <f>VAR(BH176:BH181)</f>
        <v>1.7449882892940448E-7</v>
      </c>
      <c r="BI182" s="126"/>
      <c r="BJ182" s="126"/>
      <c r="BK182" s="126"/>
      <c r="BL182" s="126"/>
      <c r="BM182" s="126"/>
      <c r="BN182" s="126"/>
      <c r="BO182" s="126"/>
      <c r="BP182" s="126"/>
      <c r="BQ182" s="126"/>
      <c r="BR182" s="126"/>
      <c r="BS182" s="127"/>
      <c r="FA182" s="130" t="s">
        <v>167</v>
      </c>
      <c r="FB182" s="123"/>
      <c r="FC182" s="123"/>
      <c r="FD182" s="123"/>
      <c r="FE182" s="123"/>
      <c r="FF182" s="123"/>
      <c r="FG182" s="123"/>
      <c r="FH182" s="123" t="s">
        <v>168</v>
      </c>
      <c r="FI182" s="123"/>
      <c r="FJ182" s="123"/>
      <c r="FK182" s="123"/>
      <c r="FL182" s="98"/>
    </row>
    <row r="183" spans="1:168" ht="15.75" thickTop="1">
      <c r="A183" s="128"/>
      <c r="B183" s="121"/>
      <c r="C183" s="121"/>
      <c r="D183" s="121"/>
      <c r="E183" s="121"/>
      <c r="F183" s="133" t="s">
        <v>239</v>
      </c>
      <c r="G183" s="121"/>
      <c r="H183" s="121"/>
      <c r="I183" s="124" t="s">
        <v>184</v>
      </c>
      <c r="J183" s="121"/>
      <c r="K183" s="121"/>
      <c r="L183" s="122"/>
      <c r="S183" s="128"/>
      <c r="T183" s="121"/>
      <c r="U183" s="121"/>
      <c r="V183" s="121"/>
      <c r="W183" s="121"/>
      <c r="X183" s="133" t="s">
        <v>239</v>
      </c>
      <c r="Y183" s="121"/>
      <c r="Z183" s="121"/>
      <c r="AA183" s="129" t="s">
        <v>221</v>
      </c>
      <c r="AB183" s="121"/>
      <c r="AC183" s="121"/>
      <c r="AD183" s="122"/>
      <c r="AJ183" s="128"/>
      <c r="AK183" s="121"/>
      <c r="AL183" s="121"/>
      <c r="AM183" s="121"/>
      <c r="AN183" s="121"/>
      <c r="AO183" s="133" t="s">
        <v>239</v>
      </c>
      <c r="AP183" s="121"/>
      <c r="AQ183" s="121"/>
      <c r="AR183" s="129" t="s">
        <v>225</v>
      </c>
      <c r="AS183" s="121"/>
      <c r="AT183" s="121"/>
      <c r="AU183" s="122"/>
      <c r="BG183" s="128"/>
      <c r="BH183" s="121"/>
      <c r="BI183" s="121"/>
      <c r="BJ183" s="121"/>
      <c r="BK183" s="121"/>
      <c r="BL183" s="133" t="s">
        <v>239</v>
      </c>
      <c r="BM183" s="121"/>
      <c r="BN183" s="121"/>
      <c r="BO183" s="124" t="s">
        <v>194</v>
      </c>
      <c r="BP183" s="121"/>
      <c r="BQ183" s="121"/>
      <c r="BR183" s="121"/>
      <c r="BS183" s="122"/>
      <c r="FA183" s="1"/>
      <c r="FB183" s="2" t="s">
        <v>0</v>
      </c>
      <c r="FC183" s="2" t="s">
        <v>1</v>
      </c>
      <c r="FD183" s="2" t="s">
        <v>2</v>
      </c>
      <c r="FE183" s="3" t="s">
        <v>6</v>
      </c>
      <c r="FF183" s="103" t="s">
        <v>70</v>
      </c>
      <c r="FG183" s="103" t="s">
        <v>172</v>
      </c>
      <c r="FH183" s="123" t="s">
        <v>3</v>
      </c>
      <c r="FI183" s="123">
        <v>1000</v>
      </c>
      <c r="FJ183" s="123"/>
      <c r="FK183" s="123" t="s">
        <v>19</v>
      </c>
      <c r="FL183" s="123">
        <v>6.8714400000000004E-3</v>
      </c>
    </row>
    <row r="184" spans="1:168" ht="15.75" thickBot="1">
      <c r="A184" s="130" t="s">
        <v>167</v>
      </c>
      <c r="H184" s="123" t="s">
        <v>168</v>
      </c>
      <c r="L184" s="98"/>
      <c r="S184" s="130" t="s">
        <v>167</v>
      </c>
      <c r="Z184" s="123" t="s">
        <v>168</v>
      </c>
      <c r="AD184" s="98"/>
      <c r="AJ184" s="130" t="s">
        <v>167</v>
      </c>
      <c r="AQ184" s="123" t="s">
        <v>168</v>
      </c>
      <c r="AU184" s="98"/>
      <c r="BG184" s="130" t="s">
        <v>167</v>
      </c>
      <c r="BH184" s="123"/>
      <c r="BI184" s="123"/>
      <c r="BJ184" s="123"/>
      <c r="BK184" s="123"/>
      <c r="BL184" s="123"/>
      <c r="BM184" s="123"/>
      <c r="BN184" s="123" t="s">
        <v>168</v>
      </c>
      <c r="BO184" s="123"/>
      <c r="BP184" s="123"/>
      <c r="BQ184" s="123"/>
      <c r="BR184" s="123"/>
      <c r="BS184" s="98"/>
      <c r="FA184" s="4" t="s">
        <v>3</v>
      </c>
      <c r="FB184" s="100">
        <f>2.52937*10^9</f>
        <v>2529370000</v>
      </c>
      <c r="FC184" s="5">
        <f>4.67367*10^7</f>
        <v>46736700.000000007</v>
      </c>
      <c r="FD184" s="5">
        <f>1.78889*10^7</f>
        <v>17888900</v>
      </c>
      <c r="FE184" s="104">
        <f>SUM(FB184:FD184)</f>
        <v>2593995600</v>
      </c>
      <c r="FF184" s="123">
        <f>FD184/FC184</f>
        <v>0.38275915929023652</v>
      </c>
      <c r="FG184" s="123">
        <f>FB184/FC184</f>
        <v>54.119567705892791</v>
      </c>
      <c r="FH184" s="123" t="s">
        <v>4</v>
      </c>
      <c r="FI184" s="123">
        <v>1600</v>
      </c>
      <c r="FJ184" s="123"/>
      <c r="FK184" s="123"/>
      <c r="FL184" s="98"/>
    </row>
    <row r="185" spans="1:168" ht="15.75" thickTop="1">
      <c r="A185" s="1"/>
      <c r="B185" s="2" t="s">
        <v>0</v>
      </c>
      <c r="C185" s="2" t="s">
        <v>1</v>
      </c>
      <c r="D185" s="2" t="s">
        <v>2</v>
      </c>
      <c r="E185" s="3" t="s">
        <v>6</v>
      </c>
      <c r="F185" s="103" t="s">
        <v>70</v>
      </c>
      <c r="G185" s="103" t="s">
        <v>172</v>
      </c>
      <c r="H185" s="123" t="s">
        <v>3</v>
      </c>
      <c r="I185" s="123">
        <v>6</v>
      </c>
      <c r="K185" s="123" t="s">
        <v>19</v>
      </c>
      <c r="L185" s="98">
        <v>0.41960199999999997</v>
      </c>
      <c r="S185" s="1"/>
      <c r="T185" s="2" t="s">
        <v>0</v>
      </c>
      <c r="U185" s="2" t="s">
        <v>1</v>
      </c>
      <c r="V185" s="2" t="s">
        <v>2</v>
      </c>
      <c r="W185" s="3" t="s">
        <v>6</v>
      </c>
      <c r="X185" s="103" t="s">
        <v>70</v>
      </c>
      <c r="Y185" s="103" t="s">
        <v>172</v>
      </c>
      <c r="Z185" s="123" t="s">
        <v>3</v>
      </c>
      <c r="AA185" s="123">
        <v>12</v>
      </c>
      <c r="AC185" s="123" t="s">
        <v>19</v>
      </c>
      <c r="AD185" s="98">
        <v>0.243116</v>
      </c>
      <c r="AJ185" s="1"/>
      <c r="AK185" s="2" t="s">
        <v>0</v>
      </c>
      <c r="AL185" s="2" t="s">
        <v>1</v>
      </c>
      <c r="AM185" s="2" t="s">
        <v>2</v>
      </c>
      <c r="AN185" s="3" t="s">
        <v>6</v>
      </c>
      <c r="AO185" s="103" t="s">
        <v>70</v>
      </c>
      <c r="AP185" s="103" t="s">
        <v>172</v>
      </c>
      <c r="AQ185" s="123" t="s">
        <v>3</v>
      </c>
      <c r="AR185" s="123">
        <v>20</v>
      </c>
      <c r="AT185" s="123" t="s">
        <v>19</v>
      </c>
      <c r="AU185" s="98">
        <v>0.11461</v>
      </c>
      <c r="BG185" s="1"/>
      <c r="BH185" s="2" t="s">
        <v>0</v>
      </c>
      <c r="BI185" s="2" t="s">
        <v>1</v>
      </c>
      <c r="BJ185" s="2" t="s">
        <v>2</v>
      </c>
      <c r="BK185" s="3" t="s">
        <v>6</v>
      </c>
      <c r="BL185" s="103" t="s">
        <v>70</v>
      </c>
      <c r="BM185" s="103" t="s">
        <v>172</v>
      </c>
      <c r="BN185" s="123" t="s">
        <v>3</v>
      </c>
      <c r="BO185" s="123">
        <v>30</v>
      </c>
      <c r="BP185" s="123"/>
      <c r="BQ185" s="123" t="s">
        <v>19</v>
      </c>
      <c r="BR185" s="123">
        <v>0.12712899999999999</v>
      </c>
      <c r="BS185" s="98"/>
      <c r="FA185" s="4" t="s">
        <v>4</v>
      </c>
      <c r="FB185" s="5">
        <f>4.67841*10^7</f>
        <v>46784100.000000007</v>
      </c>
      <c r="FC185" s="5">
        <v>358272</v>
      </c>
      <c r="FD185" s="5">
        <v>137132</v>
      </c>
      <c r="FE185" s="106">
        <f t="shared" ref="FE185:FE187" si="561">SUM(FB185:FD185)</f>
        <v>47279504.000000007</v>
      </c>
      <c r="FF185" s="123">
        <f t="shared" ref="FF185:FF187" si="562">FD185/FC185</f>
        <v>0.38275946766702396</v>
      </c>
      <c r="FG185" s="123">
        <f t="shared" ref="FG185:FG187" si="563">FB185/FC185</f>
        <v>130.58262995712758</v>
      </c>
      <c r="FH185" s="123" t="s">
        <v>5</v>
      </c>
      <c r="FI185" s="123">
        <v>800</v>
      </c>
      <c r="FJ185" s="123"/>
      <c r="FK185" s="123"/>
      <c r="FL185" s="98"/>
    </row>
    <row r="186" spans="1:168">
      <c r="A186" s="4" t="s">
        <v>3</v>
      </c>
      <c r="B186" s="100">
        <v>140.989</v>
      </c>
      <c r="C186" s="5">
        <v>255.923</v>
      </c>
      <c r="D186" s="5">
        <v>153.96100000000001</v>
      </c>
      <c r="E186" s="104">
        <f>SUM(B186:D186)</f>
        <v>550.87300000000005</v>
      </c>
      <c r="F186" s="123">
        <f>D186/C186</f>
        <v>0.60159110357412193</v>
      </c>
      <c r="G186" s="123">
        <f>B186/C186</f>
        <v>0.55090398283858821</v>
      </c>
      <c r="H186" s="123" t="s">
        <v>4</v>
      </c>
      <c r="I186" s="123">
        <v>12</v>
      </c>
      <c r="L186" s="98"/>
      <c r="S186" s="4" t="s">
        <v>3</v>
      </c>
      <c r="T186" s="100">
        <v>58.920099999999998</v>
      </c>
      <c r="U186" s="5">
        <v>230.321</v>
      </c>
      <c r="V186" s="5">
        <v>64.264499999999998</v>
      </c>
      <c r="W186" s="104">
        <f>SUM(T186:V186)</f>
        <v>353.50560000000002</v>
      </c>
      <c r="X186" s="123">
        <f>V186/U186</f>
        <v>0.27902145266823258</v>
      </c>
      <c r="Y186" s="123">
        <f>T186/U186</f>
        <v>0.25581731583311984</v>
      </c>
      <c r="Z186" s="123" t="s">
        <v>4</v>
      </c>
      <c r="AA186" s="123">
        <v>20</v>
      </c>
      <c r="AD186" s="98"/>
      <c r="AJ186" s="4" t="s">
        <v>3</v>
      </c>
      <c r="AK186" s="100">
        <v>4303.13</v>
      </c>
      <c r="AL186" s="5">
        <v>3479.49</v>
      </c>
      <c r="AM186" s="5">
        <v>887.928</v>
      </c>
      <c r="AN186" s="104">
        <f>SUM(AK186:AM186)</f>
        <v>8670.5480000000007</v>
      </c>
      <c r="AO186" s="123">
        <f>AM186/AL186</f>
        <v>0.25518912254382109</v>
      </c>
      <c r="AP186" s="123">
        <f>AK186/AL186</f>
        <v>1.2367128515960673</v>
      </c>
      <c r="AQ186" s="123" t="s">
        <v>4</v>
      </c>
      <c r="AR186" s="123">
        <v>40</v>
      </c>
      <c r="AU186" s="98"/>
      <c r="BG186" s="4" t="s">
        <v>3</v>
      </c>
      <c r="BH186" s="100">
        <v>1798.18</v>
      </c>
      <c r="BI186" s="5">
        <v>3552.63</v>
      </c>
      <c r="BJ186" s="5">
        <v>676.89700000000005</v>
      </c>
      <c r="BK186" s="104">
        <f>SUM(BH186:BJ186)</f>
        <v>6027.7070000000003</v>
      </c>
      <c r="BL186" s="123">
        <f>BJ186/BI186</f>
        <v>0.19053405505217264</v>
      </c>
      <c r="BM186" s="123">
        <f>BH186/BI186</f>
        <v>0.50615459532796825</v>
      </c>
      <c r="BN186" s="123" t="s">
        <v>4</v>
      </c>
      <c r="BO186" s="123">
        <v>60</v>
      </c>
      <c r="BP186" s="123"/>
      <c r="BQ186" s="123"/>
      <c r="BR186" s="123"/>
      <c r="BS186" s="98"/>
      <c r="FA186" s="4" t="s">
        <v>5</v>
      </c>
      <c r="FB186" s="5">
        <f>1.78415*10^7</f>
        <v>17841500</v>
      </c>
      <c r="FC186" s="5">
        <v>184521</v>
      </c>
      <c r="FD186" s="5">
        <v>70627</v>
      </c>
      <c r="FE186" s="108">
        <f t="shared" si="561"/>
        <v>18096648</v>
      </c>
      <c r="FF186" s="123">
        <f t="shared" si="562"/>
        <v>0.38275860200194017</v>
      </c>
      <c r="FG186" s="123">
        <f t="shared" si="563"/>
        <v>96.690891551639112</v>
      </c>
      <c r="FH186" s="85" t="s">
        <v>49</v>
      </c>
      <c r="FI186" s="124">
        <f>FI183+FI184+FI185</f>
        <v>3400</v>
      </c>
      <c r="FJ186" s="123" t="s">
        <v>457</v>
      </c>
      <c r="FK186" s="123"/>
      <c r="FL186" s="98"/>
    </row>
    <row r="187" spans="1:168" ht="15.75" thickBot="1">
      <c r="A187" s="4" t="s">
        <v>4</v>
      </c>
      <c r="B187" s="5">
        <v>231.72200000000001</v>
      </c>
      <c r="C187" s="5">
        <v>592.36400000000003</v>
      </c>
      <c r="D187" s="5">
        <v>356.36099999999999</v>
      </c>
      <c r="E187" s="106">
        <f t="shared" ref="E187:E189" si="564">SUM(B187:D187)</f>
        <v>1180.4470000000001</v>
      </c>
      <c r="F187" s="123">
        <f t="shared" ref="F187:F189" si="565">D187/C187</f>
        <v>0.60159125132519864</v>
      </c>
      <c r="G187" s="123">
        <f t="shared" ref="G187:G189" si="566">B187/C187</f>
        <v>0.39118177336907711</v>
      </c>
      <c r="H187" s="123" t="s">
        <v>5</v>
      </c>
      <c r="I187" s="123">
        <v>4</v>
      </c>
      <c r="L187" s="98"/>
      <c r="S187" s="4" t="s">
        <v>4</v>
      </c>
      <c r="T187" s="5">
        <v>228.23099999999999</v>
      </c>
      <c r="U187" s="5">
        <v>1708.1</v>
      </c>
      <c r="V187" s="5">
        <v>476.596</v>
      </c>
      <c r="W187" s="106">
        <f t="shared" ref="W187:W189" si="567">SUM(T187:V187)</f>
        <v>2412.9269999999997</v>
      </c>
      <c r="X187" s="123">
        <f t="shared" ref="X187:X189" si="568">V187/U187</f>
        <v>0.27902113459399336</v>
      </c>
      <c r="Y187" s="123">
        <f t="shared" ref="Y187:Y189" si="569">T187/U187</f>
        <v>0.13361688425736198</v>
      </c>
      <c r="Z187" s="123" t="s">
        <v>5</v>
      </c>
      <c r="AA187" s="123">
        <v>8</v>
      </c>
      <c r="AD187" s="98"/>
      <c r="AJ187" s="4" t="s">
        <v>4</v>
      </c>
      <c r="AK187" s="5">
        <v>3484.31</v>
      </c>
      <c r="AL187" s="5">
        <v>2870.19</v>
      </c>
      <c r="AM187" s="5">
        <v>732.44100000000003</v>
      </c>
      <c r="AN187" s="106">
        <f t="shared" ref="AN187:AN189" si="570">SUM(AK187:AM187)</f>
        <v>7086.9409999999998</v>
      </c>
      <c r="AO187" s="123">
        <f t="shared" ref="AO187:AO189" si="571">AM187/AL187</f>
        <v>0.25518902929771198</v>
      </c>
      <c r="AP187" s="123">
        <f t="shared" ref="AP187:AP189" si="572">AK187/AL187</f>
        <v>1.2139649291510317</v>
      </c>
      <c r="AQ187" s="123" t="s">
        <v>5</v>
      </c>
      <c r="AR187" s="123">
        <v>15</v>
      </c>
      <c r="AU187" s="98"/>
      <c r="BG187" s="4" t="s">
        <v>4</v>
      </c>
      <c r="BH187" s="5">
        <v>3552.53</v>
      </c>
      <c r="BI187" s="5">
        <v>7170.66</v>
      </c>
      <c r="BJ187" s="5">
        <v>1366.26</v>
      </c>
      <c r="BK187" s="106">
        <f t="shared" ref="BK187:BK189" si="573">SUM(BH187:BJ187)</f>
        <v>12089.45</v>
      </c>
      <c r="BL187" s="123">
        <f t="shared" ref="BL187:BL189" si="574">BJ187/BI187</f>
        <v>0.19053476249048204</v>
      </c>
      <c r="BM187" s="123">
        <f t="shared" ref="BM187:BM189" si="575">BH187/BI187</f>
        <v>0.49542580459818208</v>
      </c>
      <c r="BN187" s="123" t="s">
        <v>5</v>
      </c>
      <c r="BO187" s="123">
        <v>25</v>
      </c>
      <c r="BP187" s="123"/>
      <c r="BQ187" s="123"/>
      <c r="BR187" s="123"/>
      <c r="BS187" s="98"/>
      <c r="FA187" s="7"/>
      <c r="FB187" s="105">
        <f>SUM(FB184:FB186)</f>
        <v>2593995600</v>
      </c>
      <c r="FC187" s="107">
        <f>SUM(FC184:FC186)</f>
        <v>47279493.000000007</v>
      </c>
      <c r="FD187" s="109">
        <f>SUM(FD184:FD186)</f>
        <v>18096659</v>
      </c>
      <c r="FE187" s="101">
        <f t="shared" si="561"/>
        <v>2659371752</v>
      </c>
      <c r="FF187" s="123">
        <f t="shared" si="562"/>
        <v>0.38275915945206934</v>
      </c>
      <c r="FG187" s="123">
        <f t="shared" si="563"/>
        <v>54.865131485229753</v>
      </c>
      <c r="FH187" s="123"/>
      <c r="FI187" s="123"/>
      <c r="FJ187" s="123"/>
      <c r="FK187" s="123"/>
      <c r="FL187" s="98"/>
    </row>
    <row r="188" spans="1:168" ht="15.75" thickTop="1">
      <c r="A188" s="4" t="s">
        <v>5</v>
      </c>
      <c r="B188" s="5">
        <v>178.16300000000001</v>
      </c>
      <c r="C188" s="5">
        <v>332.16</v>
      </c>
      <c r="D188" s="5">
        <v>199.82400000000001</v>
      </c>
      <c r="E188" s="108">
        <f t="shared" si="564"/>
        <v>710.14700000000005</v>
      </c>
      <c r="F188" s="123">
        <f t="shared" si="565"/>
        <v>0.60158959537572254</v>
      </c>
      <c r="G188" s="123">
        <f t="shared" si="566"/>
        <v>0.53637704720616575</v>
      </c>
      <c r="L188" s="98"/>
      <c r="S188" s="4" t="s">
        <v>5</v>
      </c>
      <c r="T188" s="5">
        <v>66.354399999999998</v>
      </c>
      <c r="U188" s="5">
        <v>474.50599999999997</v>
      </c>
      <c r="V188" s="5">
        <v>132.39699999999999</v>
      </c>
      <c r="W188" s="108">
        <f t="shared" si="567"/>
        <v>673.25739999999996</v>
      </c>
      <c r="X188" s="123">
        <f t="shared" si="568"/>
        <v>0.27902070785195549</v>
      </c>
      <c r="Y188" s="123">
        <f t="shared" si="569"/>
        <v>0.13983890614660299</v>
      </c>
      <c r="AD188" s="98"/>
      <c r="AJ188" s="4" t="s">
        <v>5</v>
      </c>
      <c r="AK188" s="5">
        <v>883.10199999999998</v>
      </c>
      <c r="AL188" s="5">
        <v>737.26700000000005</v>
      </c>
      <c r="AM188" s="5">
        <v>188.143</v>
      </c>
      <c r="AN188" s="108">
        <f t="shared" si="570"/>
        <v>1808.5120000000002</v>
      </c>
      <c r="AO188" s="123">
        <f t="shared" si="571"/>
        <v>0.25518977521033764</v>
      </c>
      <c r="AP188" s="123">
        <f t="shared" si="572"/>
        <v>1.1978048658084519</v>
      </c>
      <c r="AU188" s="98"/>
      <c r="BG188" s="4" t="s">
        <v>5</v>
      </c>
      <c r="BH188" s="5">
        <v>676.99099999999999</v>
      </c>
      <c r="BI188" s="5">
        <v>1366.16</v>
      </c>
      <c r="BJ188" s="5">
        <v>260.3</v>
      </c>
      <c r="BK188" s="108">
        <f t="shared" si="573"/>
        <v>2303.451</v>
      </c>
      <c r="BL188" s="123">
        <f t="shared" si="574"/>
        <v>0.190534051648416</v>
      </c>
      <c r="BM188" s="123">
        <f t="shared" si="575"/>
        <v>0.49554298178837031</v>
      </c>
      <c r="BN188" s="123"/>
      <c r="BO188" s="123"/>
      <c r="BP188" s="123"/>
      <c r="BQ188" s="123"/>
      <c r="BR188" s="123"/>
      <c r="BS188" s="98"/>
      <c r="FA188" s="130"/>
      <c r="FB188" s="123"/>
      <c r="FC188" s="123"/>
      <c r="FD188" s="123"/>
      <c r="FE188" s="123"/>
      <c r="FF188" s="124" t="s">
        <v>420</v>
      </c>
      <c r="FG188" s="103">
        <f>AVERAGE(FG184:FG186)</f>
        <v>93.797696404886494</v>
      </c>
      <c r="FH188" s="123"/>
      <c r="FI188" s="123"/>
      <c r="FJ188" s="123"/>
      <c r="FK188" s="123"/>
      <c r="FL188" s="98"/>
    </row>
    <row r="189" spans="1:168" ht="15.75" thickBot="1">
      <c r="A189" s="7"/>
      <c r="B189" s="105">
        <f>SUM(B186:B188)</f>
        <v>550.87400000000002</v>
      </c>
      <c r="C189" s="107">
        <f>SUM(C186:C188)</f>
        <v>1180.4470000000001</v>
      </c>
      <c r="D189" s="109">
        <f>SUM(D186:D188)</f>
        <v>710.14599999999996</v>
      </c>
      <c r="E189" s="101">
        <f t="shared" si="564"/>
        <v>2441.4670000000001</v>
      </c>
      <c r="F189" s="123">
        <f t="shared" si="565"/>
        <v>0.60159075333327117</v>
      </c>
      <c r="G189" s="123">
        <f t="shared" si="566"/>
        <v>0.46666559362682097</v>
      </c>
      <c r="L189" s="98"/>
      <c r="S189" s="7"/>
      <c r="T189" s="105">
        <f>SUM(T186:T188)</f>
        <v>353.50549999999998</v>
      </c>
      <c r="U189" s="107">
        <f>SUM(U186:U188)</f>
        <v>2412.9269999999997</v>
      </c>
      <c r="V189" s="109">
        <f>SUM(V186:V188)</f>
        <v>673.25749999999994</v>
      </c>
      <c r="W189" s="101">
        <f t="shared" si="567"/>
        <v>3439.6899999999996</v>
      </c>
      <c r="X189" s="123">
        <f t="shared" si="568"/>
        <v>0.2790210810356053</v>
      </c>
      <c r="Y189" s="123">
        <f t="shared" si="569"/>
        <v>0.14650484660331622</v>
      </c>
      <c r="AD189" s="98"/>
      <c r="AJ189" s="7"/>
      <c r="AK189" s="105">
        <f>SUM(AK186:AK188)</f>
        <v>8670.5420000000013</v>
      </c>
      <c r="AL189" s="107">
        <f>SUM(AL186:AL188)</f>
        <v>7086.9470000000001</v>
      </c>
      <c r="AM189" s="109">
        <f>SUM(AM186:AM188)</f>
        <v>1808.5120000000002</v>
      </c>
      <c r="AN189" s="101">
        <f t="shared" si="570"/>
        <v>17566.001</v>
      </c>
      <c r="AO189" s="123">
        <f t="shared" si="571"/>
        <v>0.25518915267745057</v>
      </c>
      <c r="AP189" s="123">
        <f t="shared" si="572"/>
        <v>1.2234523554359868</v>
      </c>
      <c r="AU189" s="98"/>
      <c r="BG189" s="7"/>
      <c r="BH189" s="105">
        <f>SUM(BH186:BH188)</f>
        <v>6027.701</v>
      </c>
      <c r="BI189" s="107">
        <f>SUM(BI186:BI188)</f>
        <v>12089.45</v>
      </c>
      <c r="BJ189" s="109">
        <f>SUM(BJ186:BJ188)</f>
        <v>2303.4570000000003</v>
      </c>
      <c r="BK189" s="101">
        <f t="shared" si="573"/>
        <v>20420.608</v>
      </c>
      <c r="BL189" s="123">
        <f t="shared" si="574"/>
        <v>0.1905344742730232</v>
      </c>
      <c r="BM189" s="123">
        <f t="shared" si="575"/>
        <v>0.49859183006671104</v>
      </c>
      <c r="BN189" s="123"/>
      <c r="BO189" s="123"/>
      <c r="BP189" s="123"/>
      <c r="BQ189" s="123"/>
      <c r="BR189" s="123"/>
      <c r="BS189" s="98"/>
      <c r="FA189" s="130"/>
      <c r="FB189" s="123"/>
      <c r="FC189" s="123"/>
      <c r="FD189" s="123"/>
      <c r="FE189" s="123"/>
      <c r="FF189" s="123"/>
      <c r="FG189" s="123"/>
      <c r="FH189" s="123"/>
      <c r="FI189" s="123"/>
      <c r="FJ189" s="123" t="s">
        <v>419</v>
      </c>
      <c r="FK189" s="123">
        <v>1.7999999999999999E-2</v>
      </c>
      <c r="FL189" s="98"/>
    </row>
    <row r="190" spans="1:168" ht="16.5" thickTop="1" thickBot="1">
      <c r="A190" s="130"/>
      <c r="F190" s="124" t="s">
        <v>420</v>
      </c>
      <c r="G190" s="103">
        <f>AVERAGE(G186:G188)</f>
        <v>0.49282093447127701</v>
      </c>
      <c r="L190" s="98"/>
      <c r="X190" s="124" t="s">
        <v>420</v>
      </c>
      <c r="Y190" s="103">
        <f>AVERAGE(Y186:Y188)</f>
        <v>0.17642436874569492</v>
      </c>
      <c r="AD190" s="98"/>
      <c r="AO190" s="124" t="s">
        <v>420</v>
      </c>
      <c r="AP190" s="103">
        <f>AVERAGE(AP186:AP188)</f>
        <v>1.2161608821851837</v>
      </c>
      <c r="AU190" s="98"/>
      <c r="BG190" s="130"/>
      <c r="BH190" s="123"/>
      <c r="BI190" s="123"/>
      <c r="BJ190" s="123"/>
      <c r="BK190" s="123"/>
      <c r="BL190" s="124" t="s">
        <v>420</v>
      </c>
      <c r="BM190" s="103">
        <f>AVERAGE(BM186:BM188)</f>
        <v>0.49904112723817357</v>
      </c>
      <c r="BN190" s="123"/>
      <c r="BO190" s="123"/>
      <c r="BP190" s="123"/>
      <c r="BQ190" s="123"/>
      <c r="BR190" s="123"/>
      <c r="BS190" s="98"/>
      <c r="FA190" s="140" t="s">
        <v>254</v>
      </c>
      <c r="FB190" s="123"/>
      <c r="FC190" s="123"/>
      <c r="FD190" s="123"/>
      <c r="FE190" s="123"/>
      <c r="FF190" s="123"/>
      <c r="FG190" s="123"/>
      <c r="FH190" s="123"/>
      <c r="FI190" s="123"/>
      <c r="FJ190" s="124" t="s">
        <v>218</v>
      </c>
      <c r="FK190" s="123"/>
      <c r="FL190" s="98"/>
    </row>
    <row r="191" spans="1:168" ht="15.75" thickTop="1">
      <c r="A191" s="130"/>
      <c r="L191" s="98"/>
      <c r="AD191" s="98"/>
      <c r="AU191" s="98"/>
      <c r="BG191" s="130"/>
      <c r="BH191" s="123"/>
      <c r="BI191" s="123"/>
      <c r="BJ191" s="123"/>
      <c r="BK191" s="123"/>
      <c r="BL191" s="123"/>
      <c r="BM191" s="123"/>
      <c r="BN191" s="123"/>
      <c r="BO191" s="123"/>
      <c r="BP191" s="123"/>
      <c r="BQ191" s="123"/>
      <c r="BR191" s="123"/>
      <c r="BS191" s="98"/>
      <c r="FA191" s="1"/>
      <c r="FB191" s="2" t="s">
        <v>8</v>
      </c>
      <c r="FC191" s="2" t="s">
        <v>9</v>
      </c>
      <c r="FD191" s="2" t="s">
        <v>10</v>
      </c>
      <c r="FE191" s="3" t="s">
        <v>11</v>
      </c>
      <c r="FF191" s="103" t="s">
        <v>16</v>
      </c>
      <c r="FG191" s="103" t="s">
        <v>172</v>
      </c>
      <c r="FH191" s="124" t="s">
        <v>171</v>
      </c>
      <c r="FI191" s="123"/>
      <c r="FJ191" s="123">
        <f>0.13*FK189</f>
        <v>2.3400000000000001E-3</v>
      </c>
      <c r="FK191" s="103" t="s">
        <v>212</v>
      </c>
      <c r="FL191" s="98"/>
    </row>
    <row r="192" spans="1:168" ht="15.75" thickBot="1">
      <c r="A192" s="140" t="s">
        <v>254</v>
      </c>
      <c r="J192" s="124" t="s">
        <v>218</v>
      </c>
      <c r="L192" s="98"/>
      <c r="S192" s="140" t="s">
        <v>254</v>
      </c>
      <c r="AB192" s="124" t="s">
        <v>218</v>
      </c>
      <c r="AD192" s="98"/>
      <c r="AJ192" s="140" t="s">
        <v>254</v>
      </c>
      <c r="AS192" s="124" t="s">
        <v>218</v>
      </c>
      <c r="AU192" s="98"/>
      <c r="BG192" s="140" t="s">
        <v>254</v>
      </c>
      <c r="BH192" s="123"/>
      <c r="BI192" s="123"/>
      <c r="BJ192" s="123"/>
      <c r="BK192" s="123"/>
      <c r="BL192" s="123"/>
      <c r="BM192" s="123"/>
      <c r="BN192" s="123"/>
      <c r="BO192" s="123"/>
      <c r="BP192" s="123"/>
      <c r="BQ192" s="124" t="s">
        <v>218</v>
      </c>
      <c r="BR192" s="123"/>
      <c r="BS192" s="98"/>
      <c r="FA192" s="4" t="s">
        <v>3</v>
      </c>
      <c r="FB192" s="100">
        <f>1.01119*10^9</f>
        <v>1011190000</v>
      </c>
      <c r="FC192" s="5">
        <f>1.88267*10^7</f>
        <v>18826700</v>
      </c>
      <c r="FD192" s="5">
        <f>7.12221*10^6</f>
        <v>7122210</v>
      </c>
      <c r="FE192" s="110">
        <f>SUM(FB192:FD192)</f>
        <v>1037138910</v>
      </c>
      <c r="FF192" s="123">
        <f>FD192/(FB192+FC192)</f>
        <v>6.914654878896624E-3</v>
      </c>
      <c r="FG192" s="123">
        <f>FB192/FC192</f>
        <v>53.710421900811085</v>
      </c>
      <c r="FH192" s="125">
        <f>ABS((FE195-FE187)/FE187)</f>
        <v>0.60010015248894777</v>
      </c>
      <c r="FI192" s="123"/>
      <c r="FJ192" s="123">
        <f>0.307*FK189</f>
        <v>5.5259999999999997E-3</v>
      </c>
      <c r="FK192" s="123" t="s">
        <v>213</v>
      </c>
      <c r="FL192" s="98"/>
    </row>
    <row r="193" spans="1:168" ht="15.75" thickTop="1">
      <c r="A193" s="1"/>
      <c r="B193" s="2" t="s">
        <v>8</v>
      </c>
      <c r="C193" s="2" t="s">
        <v>9</v>
      </c>
      <c r="D193" s="2" t="s">
        <v>10</v>
      </c>
      <c r="E193" s="3" t="s">
        <v>11</v>
      </c>
      <c r="F193" s="103" t="s">
        <v>16</v>
      </c>
      <c r="G193" s="103" t="s">
        <v>172</v>
      </c>
      <c r="H193" s="124" t="s">
        <v>171</v>
      </c>
      <c r="J193" s="123">
        <v>0.08</v>
      </c>
      <c r="K193" s="103" t="s">
        <v>212</v>
      </c>
      <c r="L193" s="98" t="s">
        <v>240</v>
      </c>
      <c r="S193" s="1"/>
      <c r="T193" s="2" t="s">
        <v>8</v>
      </c>
      <c r="U193" s="2" t="s">
        <v>9</v>
      </c>
      <c r="V193" s="2" t="s">
        <v>10</v>
      </c>
      <c r="W193" s="3" t="s">
        <v>11</v>
      </c>
      <c r="X193" s="103" t="s">
        <v>16</v>
      </c>
      <c r="Y193" s="103" t="s">
        <v>172</v>
      </c>
      <c r="Z193" s="124" t="s">
        <v>171</v>
      </c>
      <c r="AB193" s="123">
        <v>0.03</v>
      </c>
      <c r="AC193" s="103" t="s">
        <v>212</v>
      </c>
      <c r="AD193" s="98"/>
      <c r="AJ193" s="1"/>
      <c r="AK193" s="2" t="s">
        <v>8</v>
      </c>
      <c r="AL193" s="2" t="s">
        <v>9</v>
      </c>
      <c r="AM193" s="2" t="s">
        <v>10</v>
      </c>
      <c r="AN193" s="3" t="s">
        <v>11</v>
      </c>
      <c r="AO193" s="103" t="s">
        <v>16</v>
      </c>
      <c r="AP193" s="103" t="s">
        <v>172</v>
      </c>
      <c r="AQ193" s="124" t="s">
        <v>171</v>
      </c>
      <c r="AS193" s="135">
        <v>0.05</v>
      </c>
      <c r="AT193" s="103" t="s">
        <v>212</v>
      </c>
      <c r="AU193" s="98"/>
      <c r="BG193" s="1"/>
      <c r="BH193" s="2" t="s">
        <v>8</v>
      </c>
      <c r="BI193" s="2" t="s">
        <v>9</v>
      </c>
      <c r="BJ193" s="2" t="s">
        <v>10</v>
      </c>
      <c r="BK193" s="3" t="s">
        <v>11</v>
      </c>
      <c r="BL193" s="103" t="s">
        <v>16</v>
      </c>
      <c r="BM193" s="103" t="s">
        <v>172</v>
      </c>
      <c r="BN193" s="124" t="s">
        <v>171</v>
      </c>
      <c r="BO193" s="123"/>
      <c r="BP193" s="123"/>
      <c r="BQ193" s="123">
        <v>1.4999999999999999E-2</v>
      </c>
      <c r="BR193" s="103" t="s">
        <v>212</v>
      </c>
      <c r="BS193" s="98" t="s">
        <v>240</v>
      </c>
      <c r="FA193" s="4" t="s">
        <v>4</v>
      </c>
      <c r="FB193" s="5">
        <f>1.87677*10^7</f>
        <v>18767700</v>
      </c>
      <c r="FC193" s="5">
        <v>141886</v>
      </c>
      <c r="FD193" s="5">
        <v>130753</v>
      </c>
      <c r="FE193" s="112">
        <f t="shared" ref="FE193:FE194" si="576">SUM(FB193:FD193)</f>
        <v>19040339</v>
      </c>
      <c r="FF193" s="123">
        <f t="shared" ref="FF193:FF195" si="577">FD193/(FB193+FC193)</f>
        <v>6.9146410714650232E-3</v>
      </c>
      <c r="FG193" s="123">
        <f t="shared" ref="FG193:FG195" si="578">FB193/FC193</f>
        <v>132.27309248269736</v>
      </c>
      <c r="FH193" s="123"/>
      <c r="FI193" s="123"/>
      <c r="FJ193" s="123">
        <f>0.23*FK189</f>
        <v>4.1399999999999996E-3</v>
      </c>
      <c r="FK193" s="123" t="s">
        <v>214</v>
      </c>
      <c r="FL193" s="98"/>
    </row>
    <row r="194" spans="1:168">
      <c r="A194" s="4" t="s">
        <v>3</v>
      </c>
      <c r="B194" s="100">
        <v>141.15899999999999</v>
      </c>
      <c r="C194" s="5">
        <v>247.08699999999999</v>
      </c>
      <c r="D194" s="5">
        <v>162.90899999999999</v>
      </c>
      <c r="E194" s="110">
        <f>SUM(B194:D194)</f>
        <v>551.15499999999997</v>
      </c>
      <c r="F194" s="123">
        <f>D194/(B194+C194)</f>
        <v>0.41960252005171977</v>
      </c>
      <c r="G194" s="123">
        <f>B194/C194</f>
        <v>0.5712927025703497</v>
      </c>
      <c r="H194" s="125">
        <f>ABS((E197-E189)/E189)</f>
        <v>1.5928128457194126E-2</v>
      </c>
      <c r="J194" s="123">
        <f>J193</f>
        <v>0.08</v>
      </c>
      <c r="K194" s="123" t="s">
        <v>213</v>
      </c>
      <c r="L194" s="98" t="s">
        <v>241</v>
      </c>
      <c r="S194" s="4" t="s">
        <v>3</v>
      </c>
      <c r="T194" s="100">
        <v>60.115699999999997</v>
      </c>
      <c r="U194" s="5">
        <v>229.911</v>
      </c>
      <c r="V194" s="5">
        <v>70.510199999999998</v>
      </c>
      <c r="W194" s="110">
        <f>SUM(T194:V194)</f>
        <v>360.5369</v>
      </c>
      <c r="X194" s="123">
        <f>V194/(T194+U194)</f>
        <v>0.24311623722919301</v>
      </c>
      <c r="Y194" s="123">
        <f>T194/U194</f>
        <v>0.26147378768305996</v>
      </c>
      <c r="Z194" s="125">
        <f>ABS((W197-W189)/W189)</f>
        <v>8.2870840104790435E-4</v>
      </c>
      <c r="AB194" s="123">
        <v>0.05</v>
      </c>
      <c r="AC194" s="123" t="s">
        <v>213</v>
      </c>
      <c r="AD194" s="98"/>
      <c r="AJ194" s="4" t="s">
        <v>3</v>
      </c>
      <c r="AK194" s="100">
        <v>4311.7299999999996</v>
      </c>
      <c r="AL194" s="5">
        <v>3482.43</v>
      </c>
      <c r="AM194" s="5">
        <v>893.28899999999999</v>
      </c>
      <c r="AN194" s="110">
        <f>SUM(AK194:AM194)</f>
        <v>8687.4490000000005</v>
      </c>
      <c r="AO194" s="123">
        <f>AM194/(AK194+AL194)</f>
        <v>0.11461004136430353</v>
      </c>
      <c r="AP194" s="123">
        <f>AK194/AL194</f>
        <v>1.2381383114664184</v>
      </c>
      <c r="AQ194" s="125">
        <f>ABS((AN197-AN189)/AN189)</f>
        <v>1.2639188623521937E-3</v>
      </c>
      <c r="AS194" s="135">
        <v>0.05</v>
      </c>
      <c r="AT194" s="123" t="s">
        <v>213</v>
      </c>
      <c r="AU194" s="98"/>
      <c r="BG194" s="4" t="s">
        <v>3</v>
      </c>
      <c r="BH194" s="100">
        <v>1799.38</v>
      </c>
      <c r="BI194" s="5">
        <v>3552.01</v>
      </c>
      <c r="BJ194" s="5">
        <v>680.31600000000003</v>
      </c>
      <c r="BK194" s="110">
        <f>SUM(BH194:BJ194)</f>
        <v>6031.7060000000001</v>
      </c>
      <c r="BL194" s="123">
        <f>BJ194/(BH194+BI194)</f>
        <v>0.12712883942302841</v>
      </c>
      <c r="BM194" s="123">
        <f>BH194/BI194</f>
        <v>0.50658078102257598</v>
      </c>
      <c r="BN194" s="125">
        <f>ABS((BK197-BK189)/BK189)</f>
        <v>9.1035487288154121E-5</v>
      </c>
      <c r="BO194" s="123"/>
      <c r="BP194" s="123"/>
      <c r="BQ194" s="123">
        <f>BQ193</f>
        <v>1.4999999999999999E-2</v>
      </c>
      <c r="BR194" s="123" t="s">
        <v>213</v>
      </c>
      <c r="BS194" s="98" t="s">
        <v>241</v>
      </c>
      <c r="FA194" s="4" t="s">
        <v>5</v>
      </c>
      <c r="FB194" s="5">
        <f>7.18126*10^6</f>
        <v>7181260</v>
      </c>
      <c r="FC194" s="5">
        <v>71697.2</v>
      </c>
      <c r="FD194" s="5">
        <v>50151.9</v>
      </c>
      <c r="FE194" s="108">
        <f t="shared" si="576"/>
        <v>7303109.1000000006</v>
      </c>
      <c r="FF194" s="123">
        <f t="shared" si="577"/>
        <v>6.9146830206029616E-3</v>
      </c>
      <c r="FG194" s="123">
        <f t="shared" si="578"/>
        <v>100.16095468163331</v>
      </c>
      <c r="FH194" s="123"/>
      <c r="FI194" s="123" t="s">
        <v>397</v>
      </c>
      <c r="FJ194" s="123"/>
      <c r="FK194" s="103" t="s">
        <v>215</v>
      </c>
      <c r="FL194" s="98"/>
    </row>
    <row r="195" spans="1:168" ht="15.75" thickBot="1">
      <c r="A195" s="4" t="s">
        <v>4</v>
      </c>
      <c r="B195" s="5">
        <v>231.78200000000001</v>
      </c>
      <c r="C195" s="5">
        <v>572.16</v>
      </c>
      <c r="D195" s="5">
        <v>337.33499999999998</v>
      </c>
      <c r="E195" s="112">
        <f t="shared" ref="E195:E196" si="579">SUM(B195:D195)</f>
        <v>1141.277</v>
      </c>
      <c r="F195" s="123">
        <f t="shared" ref="F195:F197" si="580">D195/(B195+C195)</f>
        <v>0.41960116525819025</v>
      </c>
      <c r="G195" s="123">
        <f t="shared" ref="G195:G197" si="581">B195/C195</f>
        <v>0.40509997203579423</v>
      </c>
      <c r="J195" s="123">
        <f t="shared" ref="J195:J198" si="582">J194</f>
        <v>0.08</v>
      </c>
      <c r="K195" s="123" t="s">
        <v>214</v>
      </c>
      <c r="L195" s="98" t="s">
        <v>242</v>
      </c>
      <c r="S195" s="4" t="s">
        <v>4</v>
      </c>
      <c r="T195" s="5">
        <v>232.74700000000001</v>
      </c>
      <c r="U195" s="5">
        <v>1704.92</v>
      </c>
      <c r="V195" s="5">
        <v>471.07900000000001</v>
      </c>
      <c r="W195" s="112">
        <f t="shared" ref="W195:W196" si="583">SUM(T195:V195)</f>
        <v>2408.7460000000001</v>
      </c>
      <c r="X195" s="123">
        <f t="shared" ref="X195:X197" si="584">V195/(T195+U195)</f>
        <v>0.24311659330524799</v>
      </c>
      <c r="Y195" s="123">
        <f t="shared" ref="Y195:Y197" si="585">T195/U195</f>
        <v>0.13651490979048869</v>
      </c>
      <c r="AB195" s="123">
        <v>0.03</v>
      </c>
      <c r="AC195" s="123" t="s">
        <v>214</v>
      </c>
      <c r="AD195" s="98"/>
      <c r="AJ195" s="4" t="s">
        <v>4</v>
      </c>
      <c r="AK195" s="5">
        <v>3490.71</v>
      </c>
      <c r="AL195" s="5">
        <v>2872.27</v>
      </c>
      <c r="AM195" s="5">
        <v>729.26199999999994</v>
      </c>
      <c r="AN195" s="112">
        <f t="shared" ref="AN195:AN196" si="586">SUM(AK195:AM195)</f>
        <v>7092.2419999999993</v>
      </c>
      <c r="AO195" s="123">
        <f t="shared" ref="AO195:AO197" si="587">AM195/(AK195+AL195)</f>
        <v>0.11461013550254755</v>
      </c>
      <c r="AP195" s="123">
        <f t="shared" ref="AP195:AP197" si="588">AK195/AL195</f>
        <v>1.2153140199215255</v>
      </c>
      <c r="AS195" s="135">
        <v>0.05</v>
      </c>
      <c r="AT195" s="123" t="s">
        <v>214</v>
      </c>
      <c r="AU195" s="98"/>
      <c r="BG195" s="4" t="s">
        <v>4</v>
      </c>
      <c r="BH195" s="5">
        <v>3554.87</v>
      </c>
      <c r="BI195" s="5">
        <v>7169.11</v>
      </c>
      <c r="BJ195" s="5">
        <v>1363.33</v>
      </c>
      <c r="BK195" s="112">
        <f t="shared" ref="BK195:BK196" si="589">SUM(BH195:BJ195)</f>
        <v>12087.31</v>
      </c>
      <c r="BL195" s="123">
        <f t="shared" ref="BL195:BL197" si="590">BJ195/(BH195+BI195)</f>
        <v>0.12712910691739449</v>
      </c>
      <c r="BM195" s="123">
        <f t="shared" ref="BM195:BM197" si="591">BH195/BI195</f>
        <v>0.49585931866019634</v>
      </c>
      <c r="BN195" s="123"/>
      <c r="BO195" s="123"/>
      <c r="BP195" s="123"/>
      <c r="BQ195" s="123">
        <f t="shared" ref="BQ195" si="592">BQ194</f>
        <v>1.4999999999999999E-2</v>
      </c>
      <c r="BR195" s="123" t="s">
        <v>214</v>
      </c>
      <c r="BS195" s="98" t="s">
        <v>242</v>
      </c>
      <c r="FA195" s="7"/>
      <c r="FB195" s="111">
        <f>SUM(FB192:FB194)</f>
        <v>1037138960</v>
      </c>
      <c r="FC195" s="113">
        <f t="shared" ref="FC195:FD195" si="593">SUM(FC192:FC194)</f>
        <v>19040283.199999999</v>
      </c>
      <c r="FD195" s="109">
        <f t="shared" si="593"/>
        <v>7303114.9000000004</v>
      </c>
      <c r="FE195" s="102">
        <f>SUM(FE192:FE194)</f>
        <v>1063482358.1</v>
      </c>
      <c r="FF195" s="123">
        <f t="shared" si="577"/>
        <v>6.9146548249453422E-3</v>
      </c>
      <c r="FG195" s="123">
        <f t="shared" si="578"/>
        <v>54.470773838069803</v>
      </c>
      <c r="FH195" s="123"/>
      <c r="FI195" s="123" t="s">
        <v>398</v>
      </c>
      <c r="FJ195" s="123"/>
      <c r="FK195" s="103" t="s">
        <v>216</v>
      </c>
      <c r="FL195" s="98"/>
    </row>
    <row r="196" spans="1:168" ht="15.75" thickTop="1">
      <c r="A196" s="4" t="s">
        <v>5</v>
      </c>
      <c r="B196" s="5">
        <v>178.214</v>
      </c>
      <c r="C196" s="5">
        <v>322.02999999999997</v>
      </c>
      <c r="D196" s="5">
        <v>209.90299999999999</v>
      </c>
      <c r="E196" s="108">
        <f t="shared" si="579"/>
        <v>710.14699999999993</v>
      </c>
      <c r="F196" s="123">
        <f t="shared" si="580"/>
        <v>0.41960123459751641</v>
      </c>
      <c r="G196" s="123">
        <f t="shared" si="581"/>
        <v>0.55340806757134431</v>
      </c>
      <c r="J196" s="123">
        <f t="shared" si="582"/>
        <v>0.08</v>
      </c>
      <c r="K196" s="103" t="s">
        <v>215</v>
      </c>
      <c r="L196" s="98" t="s">
        <v>243</v>
      </c>
      <c r="S196" s="4" t="s">
        <v>5</v>
      </c>
      <c r="T196" s="5">
        <v>67.674599999999998</v>
      </c>
      <c r="U196" s="5">
        <v>473.91399999999999</v>
      </c>
      <c r="V196" s="5">
        <v>131.66900000000001</v>
      </c>
      <c r="W196" s="108">
        <f t="shared" si="583"/>
        <v>673.25760000000002</v>
      </c>
      <c r="X196" s="123">
        <f t="shared" si="584"/>
        <v>0.24311626943403167</v>
      </c>
      <c r="Y196" s="123">
        <f t="shared" si="585"/>
        <v>0.14279932646007504</v>
      </c>
      <c r="AB196" s="103">
        <v>0.02</v>
      </c>
      <c r="AC196" s="103" t="s">
        <v>215</v>
      </c>
      <c r="AD196" s="98"/>
      <c r="AJ196" s="4" t="s">
        <v>5</v>
      </c>
      <c r="AK196" s="5">
        <v>885.00599999999997</v>
      </c>
      <c r="AL196" s="5">
        <v>737.54499999999996</v>
      </c>
      <c r="AM196" s="5">
        <v>185.96100000000001</v>
      </c>
      <c r="AN196" s="108">
        <f t="shared" si="586"/>
        <v>1808.5119999999999</v>
      </c>
      <c r="AO196" s="123">
        <f t="shared" si="587"/>
        <v>0.11461026494698781</v>
      </c>
      <c r="AP196" s="123">
        <f t="shared" si="588"/>
        <v>1.1999349192252677</v>
      </c>
      <c r="AS196" s="136">
        <v>0.02</v>
      </c>
      <c r="AT196" s="103" t="s">
        <v>215</v>
      </c>
      <c r="AU196" s="98"/>
      <c r="BG196" s="4" t="s">
        <v>5</v>
      </c>
      <c r="BH196" s="5">
        <v>677.45399999999995</v>
      </c>
      <c r="BI196" s="5">
        <v>1366.19</v>
      </c>
      <c r="BJ196" s="5">
        <v>259.80700000000002</v>
      </c>
      <c r="BK196" s="108">
        <f t="shared" si="589"/>
        <v>2303.451</v>
      </c>
      <c r="BL196" s="123">
        <f t="shared" si="590"/>
        <v>0.12712928474822427</v>
      </c>
      <c r="BM196" s="123">
        <f t="shared" si="591"/>
        <v>0.49587099890937564</v>
      </c>
      <c r="BN196" s="123"/>
      <c r="BO196" s="123"/>
      <c r="BP196" s="123"/>
      <c r="BQ196" s="123">
        <f t="shared" ref="BQ196" si="594">BQ195</f>
        <v>1.4999999999999999E-2</v>
      </c>
      <c r="BR196" s="103" t="s">
        <v>215</v>
      </c>
      <c r="BS196" s="98" t="s">
        <v>243</v>
      </c>
      <c r="FA196" s="130"/>
      <c r="FB196" s="123"/>
      <c r="FC196" s="123"/>
      <c r="FD196" s="123"/>
      <c r="FE196" s="123"/>
      <c r="FF196" s="124" t="s">
        <v>420</v>
      </c>
      <c r="FG196" s="103">
        <f>AVERAGE(FG192:FG194)</f>
        <v>95.381489688380597</v>
      </c>
      <c r="FH196" s="123"/>
      <c r="FI196" s="123" t="s">
        <v>399</v>
      </c>
      <c r="FJ196" s="123"/>
      <c r="FK196" s="103" t="s">
        <v>217</v>
      </c>
      <c r="FL196" s="98"/>
    </row>
    <row r="197" spans="1:168" ht="15.75" thickBot="1">
      <c r="A197" s="7"/>
      <c r="B197" s="111">
        <f>SUM(B194:B196)</f>
        <v>551.15499999999997</v>
      </c>
      <c r="C197" s="113">
        <f t="shared" ref="C197:D197" si="595">SUM(C194:C196)</f>
        <v>1141.277</v>
      </c>
      <c r="D197" s="109">
        <f t="shared" si="595"/>
        <v>710.14699999999993</v>
      </c>
      <c r="E197" s="102">
        <f>SUM(E194:E196)</f>
        <v>2402.5789999999997</v>
      </c>
      <c r="F197" s="123">
        <f t="shared" si="580"/>
        <v>0.41960149654461742</v>
      </c>
      <c r="G197" s="123">
        <f t="shared" si="581"/>
        <v>0.48292833378750288</v>
      </c>
      <c r="J197" s="123">
        <f t="shared" si="582"/>
        <v>0.08</v>
      </c>
      <c r="K197" s="103" t="s">
        <v>216</v>
      </c>
      <c r="L197" s="98" t="s">
        <v>244</v>
      </c>
      <c r="S197" s="7"/>
      <c r="T197" s="111">
        <f>SUM(T194:T196)</f>
        <v>360.53730000000002</v>
      </c>
      <c r="U197" s="113">
        <f t="shared" ref="U197:V197" si="596">SUM(U194:U196)</f>
        <v>2408.7449999999999</v>
      </c>
      <c r="V197" s="109">
        <f t="shared" si="596"/>
        <v>673.25819999999999</v>
      </c>
      <c r="W197" s="102">
        <f>SUM(W194:W196)</f>
        <v>3442.5405000000001</v>
      </c>
      <c r="X197" s="123">
        <f t="shared" si="584"/>
        <v>0.24311649267393218</v>
      </c>
      <c r="Y197" s="123">
        <f t="shared" si="585"/>
        <v>0.14967848402383815</v>
      </c>
      <c r="AB197" s="103">
        <v>7.0000000000000007E-2</v>
      </c>
      <c r="AC197" s="103" t="s">
        <v>216</v>
      </c>
      <c r="AD197" s="98"/>
      <c r="AJ197" s="7"/>
      <c r="AK197" s="111">
        <f>SUM(AK194:AK196)</f>
        <v>8687.4459999999999</v>
      </c>
      <c r="AL197" s="113">
        <f t="shared" ref="AL197:AM197" si="597">SUM(AL194:AL196)</f>
        <v>7092.2449999999999</v>
      </c>
      <c r="AM197" s="109">
        <f t="shared" si="597"/>
        <v>1808.5119999999999</v>
      </c>
      <c r="AN197" s="102">
        <f>SUM(AN194:AN196)</f>
        <v>17588.202999999998</v>
      </c>
      <c r="AO197" s="123">
        <f t="shared" si="587"/>
        <v>0.11461010231442428</v>
      </c>
      <c r="AP197" s="123">
        <f t="shared" si="588"/>
        <v>1.2249218688863681</v>
      </c>
      <c r="AS197" s="136">
        <v>0.02</v>
      </c>
      <c r="AT197" s="103" t="s">
        <v>216</v>
      </c>
      <c r="AU197" s="98"/>
      <c r="BG197" s="7"/>
      <c r="BH197" s="111">
        <f>SUM(BH194:BH196)</f>
        <v>6031.7039999999997</v>
      </c>
      <c r="BI197" s="113">
        <f t="shared" ref="BI197:BJ197" si="598">SUM(BI194:BI196)</f>
        <v>12087.31</v>
      </c>
      <c r="BJ197" s="109">
        <f t="shared" si="598"/>
        <v>2303.453</v>
      </c>
      <c r="BK197" s="102">
        <f>SUM(BK194:BK196)</f>
        <v>20422.467000000001</v>
      </c>
      <c r="BL197" s="123">
        <f t="shared" si="590"/>
        <v>0.12712904797137417</v>
      </c>
      <c r="BM197" s="123">
        <f t="shared" si="591"/>
        <v>0.49901127711624838</v>
      </c>
      <c r="BN197" s="123"/>
      <c r="BO197" s="123"/>
      <c r="BP197" s="123"/>
      <c r="BQ197" s="123">
        <f t="shared" ref="BQ197" si="599">BQ196</f>
        <v>1.4999999999999999E-2</v>
      </c>
      <c r="BR197" s="103" t="s">
        <v>216</v>
      </c>
      <c r="BS197" s="98" t="s">
        <v>244</v>
      </c>
      <c r="FA197" s="130" t="s">
        <v>12</v>
      </c>
      <c r="FB197" s="123">
        <f>FB192/FB184</f>
        <v>0.39977939170623517</v>
      </c>
      <c r="FC197" s="123" t="s">
        <v>163</v>
      </c>
      <c r="FD197" s="123">
        <f>FC192/FC184</f>
        <v>0.40282476084105207</v>
      </c>
      <c r="FE197" s="124" t="s">
        <v>255</v>
      </c>
      <c r="FF197" s="123"/>
      <c r="FG197" s="123"/>
      <c r="FH197" s="123"/>
      <c r="FI197" s="123"/>
      <c r="FJ197" s="124" t="s">
        <v>423</v>
      </c>
      <c r="FK197" s="123"/>
      <c r="FL197" s="98"/>
    </row>
    <row r="198" spans="1:168" ht="15.75" thickTop="1">
      <c r="A198" s="130"/>
      <c r="F198" s="124" t="s">
        <v>420</v>
      </c>
      <c r="G198" s="103">
        <f>AVERAGE(G194:G196)</f>
        <v>0.50993358072582939</v>
      </c>
      <c r="J198" s="123">
        <f t="shared" si="582"/>
        <v>0.08</v>
      </c>
      <c r="K198" s="103" t="s">
        <v>217</v>
      </c>
      <c r="L198" s="98" t="s">
        <v>245</v>
      </c>
      <c r="X198" s="124" t="s">
        <v>420</v>
      </c>
      <c r="Y198" s="103">
        <f>AVERAGE(Y194:Y196)</f>
        <v>0.18026267464454124</v>
      </c>
      <c r="AB198" s="103">
        <v>0.04</v>
      </c>
      <c r="AC198" s="103" t="s">
        <v>217</v>
      </c>
      <c r="AD198" s="98"/>
      <c r="AO198" s="124" t="s">
        <v>420</v>
      </c>
      <c r="AP198" s="103">
        <f>AVERAGE(AP194:AP196)</f>
        <v>1.2177957502044039</v>
      </c>
      <c r="AS198" s="136">
        <v>0.02</v>
      </c>
      <c r="AT198" s="103" t="s">
        <v>217</v>
      </c>
      <c r="AU198" s="98"/>
      <c r="BG198" s="130"/>
      <c r="BH198" s="123"/>
      <c r="BI198" s="123"/>
      <c r="BJ198" s="123"/>
      <c r="BK198" s="123"/>
      <c r="BL198" s="124" t="s">
        <v>420</v>
      </c>
      <c r="BM198" s="103">
        <f>AVERAGE(BM194:BM196)</f>
        <v>0.49943703286404934</v>
      </c>
      <c r="BN198" s="123"/>
      <c r="BO198" s="123"/>
      <c r="BP198" s="123"/>
      <c r="BQ198" s="123">
        <f t="shared" ref="BQ198" si="600">BQ197</f>
        <v>1.4999999999999999E-2</v>
      </c>
      <c r="BR198" s="103" t="s">
        <v>217</v>
      </c>
      <c r="BS198" s="98" t="s">
        <v>245</v>
      </c>
      <c r="FA198" s="130" t="s">
        <v>13</v>
      </c>
      <c r="FB198" s="123">
        <f t="shared" ref="FB198:FB199" si="601">FB193/FB185</f>
        <v>0.40115552078590799</v>
      </c>
      <c r="FC198" s="123" t="s">
        <v>164</v>
      </c>
      <c r="FD198" s="123">
        <f t="shared" ref="FD198:FD199" si="602">FC193/FC185</f>
        <v>0.39602871561271885</v>
      </c>
      <c r="FE198" s="123">
        <f>VAR(FG184:FG186)</f>
        <v>1467.9279058269476</v>
      </c>
      <c r="FF198" s="124">
        <f>STDEV(FG184:FG186)/FG188</f>
        <v>0.40847002385965464</v>
      </c>
      <c r="FG198" s="124" t="s">
        <v>449</v>
      </c>
      <c r="FH198" s="123"/>
      <c r="FI198" s="123"/>
      <c r="FJ198" s="123" t="s">
        <v>415</v>
      </c>
      <c r="FK198" s="123"/>
      <c r="FL198" s="98"/>
    </row>
    <row r="199" spans="1:168">
      <c r="A199" s="130" t="s">
        <v>12</v>
      </c>
      <c r="B199" s="123">
        <f>B194/B186</f>
        <v>1.0012057678258586</v>
      </c>
      <c r="C199" s="123" t="s">
        <v>163</v>
      </c>
      <c r="D199" s="123">
        <f>C194/C186</f>
        <v>0.9654739902236219</v>
      </c>
      <c r="E199" s="124" t="s">
        <v>255</v>
      </c>
      <c r="J199" s="124" t="s">
        <v>246</v>
      </c>
      <c r="L199" s="98"/>
      <c r="S199" s="130" t="s">
        <v>12</v>
      </c>
      <c r="T199" s="123">
        <f>T194/T186</f>
        <v>1.0202918868094248</v>
      </c>
      <c r="U199" s="123" t="s">
        <v>163</v>
      </c>
      <c r="V199" s="123">
        <f>U194/U186</f>
        <v>0.99821987573864301</v>
      </c>
      <c r="W199" s="124" t="s">
        <v>255</v>
      </c>
      <c r="AB199" s="138" t="s">
        <v>249</v>
      </c>
      <c r="AD199" s="98"/>
      <c r="AJ199" s="130" t="s">
        <v>12</v>
      </c>
      <c r="AK199" s="123">
        <f>AK194/AK186</f>
        <v>1.0019985452449727</v>
      </c>
      <c r="AL199" s="123" t="s">
        <v>163</v>
      </c>
      <c r="AM199" s="123">
        <f>AL194/AL186</f>
        <v>1.0008449514152937</v>
      </c>
      <c r="AN199" s="124" t="s">
        <v>255</v>
      </c>
      <c r="AS199" s="124" t="s">
        <v>250</v>
      </c>
      <c r="AU199" s="98"/>
      <c r="BG199" s="130" t="s">
        <v>12</v>
      </c>
      <c r="BH199" s="123">
        <f>BH194/BH186</f>
        <v>1.0006673414229943</v>
      </c>
      <c r="BI199" s="123" t="s">
        <v>163</v>
      </c>
      <c r="BJ199" s="123">
        <f>BI194/BI186</f>
        <v>0.99982548140391769</v>
      </c>
      <c r="BK199" s="124" t="s">
        <v>255</v>
      </c>
      <c r="BL199" s="123"/>
      <c r="BM199" s="123"/>
      <c r="BN199" s="123"/>
      <c r="BO199" s="123"/>
      <c r="BP199" s="123"/>
      <c r="BQ199" s="124" t="s">
        <v>246</v>
      </c>
      <c r="BR199" s="123"/>
      <c r="BS199" s="98"/>
      <c r="FA199" s="130" t="s">
        <v>14</v>
      </c>
      <c r="FB199" s="123">
        <f t="shared" si="601"/>
        <v>0.40250315276181936</v>
      </c>
      <c r="FC199" s="123" t="s">
        <v>165</v>
      </c>
      <c r="FD199" s="123">
        <f t="shared" si="602"/>
        <v>0.38855848385820585</v>
      </c>
      <c r="FE199" s="123">
        <f>FE198/FG188</f>
        <v>15.64993557507532</v>
      </c>
      <c r="FF199" s="123"/>
      <c r="FG199" s="124" t="s">
        <v>438</v>
      </c>
      <c r="FH199" s="123"/>
      <c r="FI199" s="123"/>
      <c r="FJ199" s="123" t="s">
        <v>403</v>
      </c>
      <c r="FK199" s="123">
        <f>FK189/0.006</f>
        <v>2.9999999999999996</v>
      </c>
      <c r="FL199" s="98" t="s">
        <v>416</v>
      </c>
    </row>
    <row r="200" spans="1:168">
      <c r="A200" s="130" t="s">
        <v>13</v>
      </c>
      <c r="B200" s="123">
        <f t="shared" ref="B200:B201" si="603">B195/B187</f>
        <v>1.0002589309603749</v>
      </c>
      <c r="C200" s="123" t="s">
        <v>164</v>
      </c>
      <c r="D200" s="123">
        <f t="shared" ref="D200:D201" si="604">C195/C187</f>
        <v>0.96589259306777575</v>
      </c>
      <c r="E200" s="123">
        <f>VAR(G186:G188)</f>
        <v>7.8006472668864513E-3</v>
      </c>
      <c r="F200" s="124">
        <f>STDEV(G186:G188)/G190</f>
        <v>0.17921574924402986</v>
      </c>
      <c r="G200" s="124" t="s">
        <v>449</v>
      </c>
      <c r="L200" s="98"/>
      <c r="S200" s="130" t="s">
        <v>13</v>
      </c>
      <c r="T200" s="123">
        <f t="shared" ref="T200:T201" si="605">T195/T187</f>
        <v>1.0197869702187696</v>
      </c>
      <c r="U200" s="123" t="s">
        <v>164</v>
      </c>
      <c r="V200" s="123">
        <f t="shared" ref="V200:V201" si="606">U195/U187</f>
        <v>0.9981382823019731</v>
      </c>
      <c r="W200" s="123">
        <f>VAR(Y186:Y188)</f>
        <v>4.7371084245175429E-3</v>
      </c>
      <c r="X200" s="124">
        <f>STDEV(Y186:Y188)/Y190</f>
        <v>0.39011988756333232</v>
      </c>
      <c r="Y200" s="124" t="s">
        <v>449</v>
      </c>
      <c r="AD200" s="98"/>
      <c r="AJ200" s="130" t="s">
        <v>13</v>
      </c>
      <c r="AK200" s="123">
        <f t="shared" ref="AK200:AK201" si="607">AK195/AK187</f>
        <v>1.0018368055655209</v>
      </c>
      <c r="AL200" s="123" t="s">
        <v>164</v>
      </c>
      <c r="AM200" s="123">
        <f t="shared" ref="AM200:AM201" si="608">AL195/AL187</f>
        <v>1.0007246906999188</v>
      </c>
      <c r="AN200" s="123">
        <f>VAR(AP186:AP188)</f>
        <v>3.8207449680847006E-4</v>
      </c>
      <c r="AO200" s="124">
        <f>STDEV(AP186:AP188)/AP190</f>
        <v>1.6072483725851721E-2</v>
      </c>
      <c r="AP200" s="124" t="s">
        <v>449</v>
      </c>
      <c r="AU200" s="98"/>
      <c r="BG200" s="130" t="s">
        <v>13</v>
      </c>
      <c r="BH200" s="123">
        <f t="shared" ref="BH200:BH201" si="609">BH195/BH187</f>
        <v>1.0006586855001927</v>
      </c>
      <c r="BI200" s="123" t="s">
        <v>164</v>
      </c>
      <c r="BJ200" s="123">
        <f t="shared" ref="BJ200:BJ201" si="610">BI195/BI187</f>
        <v>0.99978384137582865</v>
      </c>
      <c r="BK200" s="123">
        <f>VAR(BM186:BM188)</f>
        <v>3.7954503821870721E-5</v>
      </c>
      <c r="BL200" s="124">
        <f>STDEV(BM186:BM188)/BM190</f>
        <v>1.234512013973404E-2</v>
      </c>
      <c r="BM200" s="124" t="s">
        <v>449</v>
      </c>
      <c r="BN200" s="123"/>
      <c r="BO200" s="123"/>
      <c r="BP200" s="123"/>
      <c r="BQ200" s="123"/>
      <c r="BR200" s="123"/>
      <c r="BS200" s="98"/>
      <c r="FA200" s="130" t="s">
        <v>15</v>
      </c>
      <c r="FB200" s="123">
        <f>FE192/FE184</f>
        <v>0.39982292568268041</v>
      </c>
      <c r="FC200" s="123" t="s">
        <v>67</v>
      </c>
      <c r="FD200" s="123">
        <f>FE193/FE185</f>
        <v>0.40271867065272082</v>
      </c>
      <c r="FE200" s="124" t="s">
        <v>256</v>
      </c>
      <c r="FF200" s="123"/>
      <c r="FG200" s="123"/>
      <c r="FH200" s="123"/>
      <c r="FI200" s="123"/>
      <c r="FJ200" s="123" t="s">
        <v>401</v>
      </c>
      <c r="FK200" s="123">
        <v>500</v>
      </c>
      <c r="FL200" s="98" t="s">
        <v>417</v>
      </c>
    </row>
    <row r="201" spans="1:168">
      <c r="A201" s="130" t="s">
        <v>14</v>
      </c>
      <c r="B201" s="123">
        <f t="shared" si="603"/>
        <v>1.0002862547217997</v>
      </c>
      <c r="C201" s="123" t="s">
        <v>165</v>
      </c>
      <c r="D201" s="123">
        <f t="shared" si="604"/>
        <v>0.96950264932562602</v>
      </c>
      <c r="G201" s="124" t="s">
        <v>438</v>
      </c>
      <c r="L201" s="98"/>
      <c r="S201" s="130" t="s">
        <v>14</v>
      </c>
      <c r="T201" s="123">
        <f t="shared" si="605"/>
        <v>1.0198961937716262</v>
      </c>
      <c r="U201" s="123" t="s">
        <v>165</v>
      </c>
      <c r="V201" s="123">
        <f t="shared" si="606"/>
        <v>0.99875238669268673</v>
      </c>
      <c r="Y201" s="124" t="s">
        <v>438</v>
      </c>
      <c r="AD201" s="98"/>
      <c r="AJ201" s="130" t="s">
        <v>14</v>
      </c>
      <c r="AK201" s="123">
        <f t="shared" si="607"/>
        <v>1.0021560363355535</v>
      </c>
      <c r="AL201" s="123" t="s">
        <v>165</v>
      </c>
      <c r="AM201" s="123">
        <f t="shared" si="608"/>
        <v>1.0003770682805551</v>
      </c>
      <c r="AP201" s="124" t="s">
        <v>438</v>
      </c>
      <c r="AU201" s="98"/>
      <c r="BG201" s="130" t="s">
        <v>14</v>
      </c>
      <c r="BH201" s="123">
        <f t="shared" si="609"/>
        <v>1.0006839086487116</v>
      </c>
      <c r="BI201" s="123" t="s">
        <v>165</v>
      </c>
      <c r="BJ201" s="123">
        <f t="shared" si="610"/>
        <v>1.0000219593605435</v>
      </c>
      <c r="BK201" s="123"/>
      <c r="BL201" s="123"/>
      <c r="BM201" s="124" t="s">
        <v>438</v>
      </c>
      <c r="BN201" s="123"/>
      <c r="BO201" s="123"/>
      <c r="BP201" s="123"/>
      <c r="BQ201" s="123"/>
      <c r="BR201" s="123"/>
      <c r="BS201" s="98"/>
      <c r="FA201" s="130" t="s">
        <v>170</v>
      </c>
      <c r="FB201" s="123">
        <f>VAR(FB197:FB199)</f>
        <v>1.8547862457228482E-6</v>
      </c>
      <c r="FC201" s="123" t="s">
        <v>170</v>
      </c>
      <c r="FD201" s="123">
        <f>VAR(FD197:FD199)</f>
        <v>5.0919542027162125E-5</v>
      </c>
      <c r="FE201" s="123">
        <f>VAR(FG192:FG194)</f>
        <v>1560.1557664557895</v>
      </c>
      <c r="FF201" s="124">
        <f>STDEV(FG192:FG194)/FG196</f>
        <v>0.41411396782920024</v>
      </c>
      <c r="FG201" s="124" t="s">
        <v>449</v>
      </c>
      <c r="FH201" s="123"/>
      <c r="FI201" s="123"/>
      <c r="FJ201" s="123"/>
      <c r="FK201" s="123"/>
      <c r="FL201" s="98"/>
    </row>
    <row r="202" spans="1:168">
      <c r="A202" s="130" t="s">
        <v>15</v>
      </c>
      <c r="B202" s="123">
        <f>E194/E186</f>
        <v>1.0005119147244463</v>
      </c>
      <c r="C202" s="123" t="s">
        <v>67</v>
      </c>
      <c r="D202" s="123">
        <f>E195/E187</f>
        <v>0.96681765466810443</v>
      </c>
      <c r="E202" s="124" t="s">
        <v>256</v>
      </c>
      <c r="L202" s="98"/>
      <c r="S202" s="130" t="s">
        <v>15</v>
      </c>
      <c r="T202" s="123">
        <f>W194/W186</f>
        <v>1.0198902082456403</v>
      </c>
      <c r="U202" s="123" t="s">
        <v>67</v>
      </c>
      <c r="V202" s="123">
        <f>W195/W187</f>
        <v>0.99826724969300784</v>
      </c>
      <c r="W202" s="124" t="s">
        <v>256</v>
      </c>
      <c r="AD202" s="98"/>
      <c r="AJ202" s="130" t="s">
        <v>15</v>
      </c>
      <c r="AK202" s="123">
        <f>AN194/AN186</f>
        <v>1.0019492424238929</v>
      </c>
      <c r="AL202" s="123" t="s">
        <v>67</v>
      </c>
      <c r="AM202" s="123">
        <f>AN195/AN187</f>
        <v>1.0007479955032785</v>
      </c>
      <c r="AN202" s="124" t="s">
        <v>256</v>
      </c>
      <c r="AU202" s="98"/>
      <c r="BG202" s="130" t="s">
        <v>15</v>
      </c>
      <c r="BH202" s="123">
        <f>BK194/BK186</f>
        <v>1.0006634363614555</v>
      </c>
      <c r="BI202" s="123" t="s">
        <v>67</v>
      </c>
      <c r="BJ202" s="123">
        <f>BK195/BK187</f>
        <v>0.99982298615735199</v>
      </c>
      <c r="BK202" s="124" t="s">
        <v>256</v>
      </c>
      <c r="BL202" s="123"/>
      <c r="BM202" s="123"/>
      <c r="BN202" s="123"/>
      <c r="BO202" s="123"/>
      <c r="BP202" s="123"/>
      <c r="BQ202" s="123"/>
      <c r="BR202" s="123"/>
      <c r="BS202" s="98"/>
      <c r="FA202" s="130"/>
      <c r="FB202" s="123"/>
      <c r="FC202" s="123"/>
      <c r="FD202" s="123"/>
      <c r="FE202" s="123">
        <f>FE201/FG196</f>
        <v>16.357007754365657</v>
      </c>
      <c r="FF202" s="123"/>
      <c r="FG202" s="124" t="s">
        <v>438</v>
      </c>
      <c r="FH202" s="123"/>
      <c r="FI202" s="123"/>
      <c r="FJ202" s="123"/>
      <c r="FK202" s="123"/>
      <c r="FL202" s="98"/>
    </row>
    <row r="203" spans="1:168">
      <c r="A203" s="130" t="s">
        <v>170</v>
      </c>
      <c r="B203" s="123">
        <f>VAR(B199:B201)</f>
        <v>2.9045849771890563E-7</v>
      </c>
      <c r="C203" s="123" t="s">
        <v>170</v>
      </c>
      <c r="D203" s="123">
        <f>VAR(D199:D201)</f>
        <v>4.9063047810230336E-6</v>
      </c>
      <c r="E203" s="123">
        <f>VAR(G194:G196)</f>
        <v>8.3225291754935316E-3</v>
      </c>
      <c r="F203" s="124">
        <f>STDEV(G194:G196)/G198</f>
        <v>0.17890152828320691</v>
      </c>
      <c r="G203" s="124" t="s">
        <v>449</v>
      </c>
      <c r="L203" s="98"/>
      <c r="S203" s="130" t="s">
        <v>170</v>
      </c>
      <c r="T203" s="123">
        <f>VAR(T199:T201)</f>
        <v>7.0573921363300993E-8</v>
      </c>
      <c r="U203" s="123" t="s">
        <v>170</v>
      </c>
      <c r="V203" s="123">
        <f>VAR(V199:V201)</f>
        <v>1.1122493462965342E-7</v>
      </c>
      <c r="W203" s="123">
        <f>VAR(Y194:Y196)</f>
        <v>4.9563071339355502E-3</v>
      </c>
      <c r="X203" s="124">
        <f>STDEV(Y194:Y196)/Y198</f>
        <v>0.39054698992126652</v>
      </c>
      <c r="Y203" s="124" t="s">
        <v>449</v>
      </c>
      <c r="AD203" s="98"/>
      <c r="AJ203" s="130" t="s">
        <v>170</v>
      </c>
      <c r="AK203" s="123">
        <f>VAR(AK199:AK201)</f>
        <v>2.5478575342850713E-8</v>
      </c>
      <c r="AL203" s="123" t="s">
        <v>170</v>
      </c>
      <c r="AM203" s="123">
        <f>VAR(AM199:AM201)</f>
        <v>5.9036435646608914E-8</v>
      </c>
      <c r="AN203" s="123">
        <f>VAR(AP194:AP196)</f>
        <v>3.6949403358051917E-4</v>
      </c>
      <c r="AO203" s="124">
        <f>STDEV(AP194:AP196)/AP198</f>
        <v>1.5784442989148294E-2</v>
      </c>
      <c r="AP203" s="124" t="s">
        <v>449</v>
      </c>
      <c r="AU203" s="98"/>
      <c r="BG203" s="130" t="s">
        <v>170</v>
      </c>
      <c r="BH203" s="123">
        <f>VAR(BH199:BH201)</f>
        <v>1.6426753145405107E-10</v>
      </c>
      <c r="BI203" s="123" t="s">
        <v>170</v>
      </c>
      <c r="BJ203" s="123">
        <f>VAR(BJ199:BJ201)</f>
        <v>1.6172942337294796E-8</v>
      </c>
      <c r="BK203" s="123">
        <f>VAR(BM194:BM196)</f>
        <v>3.8274887421395001E-5</v>
      </c>
      <c r="BL203" s="124">
        <f>STDEV(BM194:BM196)/BM198</f>
        <v>1.2387287551627027E-2</v>
      </c>
      <c r="BM203" s="124" t="s">
        <v>449</v>
      </c>
      <c r="BN203" s="123"/>
      <c r="BO203" s="123"/>
      <c r="BP203" s="123"/>
      <c r="BQ203" s="123"/>
      <c r="BR203" s="123"/>
      <c r="BS203" s="98"/>
      <c r="FA203" s="130"/>
      <c r="FB203" s="123"/>
      <c r="FC203" s="123"/>
      <c r="FD203" s="123" t="s">
        <v>444</v>
      </c>
      <c r="FE203" s="123"/>
      <c r="FF203" s="123"/>
      <c r="FG203" s="123"/>
      <c r="FH203" s="123"/>
      <c r="FI203" s="123"/>
      <c r="FJ203" s="123"/>
      <c r="FK203" s="123"/>
      <c r="FL203" s="98"/>
    </row>
    <row r="204" spans="1:168">
      <c r="A204" s="130"/>
      <c r="G204" s="124" t="s">
        <v>438</v>
      </c>
      <c r="L204" s="98"/>
      <c r="Y204" s="124" t="s">
        <v>438</v>
      </c>
      <c r="AD204" s="98"/>
      <c r="AP204" s="124" t="s">
        <v>438</v>
      </c>
      <c r="AU204" s="98"/>
      <c r="BG204" s="130"/>
      <c r="BH204" s="123"/>
      <c r="BI204" s="123"/>
      <c r="BJ204" s="123"/>
      <c r="BK204" s="123"/>
      <c r="BL204" s="123"/>
      <c r="BM204" s="124" t="s">
        <v>438</v>
      </c>
      <c r="BN204" s="123"/>
      <c r="BO204" s="123"/>
      <c r="BP204" s="123"/>
      <c r="BQ204" s="123"/>
      <c r="BR204" s="123"/>
      <c r="BS204" s="98"/>
      <c r="FA204" s="130"/>
      <c r="FB204" s="123">
        <f>FB197</f>
        <v>0.39977939170623517</v>
      </c>
      <c r="FC204" s="123"/>
      <c r="FD204" s="123">
        <f>ABS(FC192-FB193)/FC192</f>
        <v>3.1338471426219146E-3</v>
      </c>
      <c r="FE204" s="123" t="s">
        <v>446</v>
      </c>
      <c r="FF204" s="123"/>
      <c r="FG204" s="123"/>
      <c r="FH204" s="123"/>
      <c r="FI204" s="123"/>
      <c r="FJ204" s="123"/>
      <c r="FK204" s="123"/>
      <c r="FL204" s="98"/>
    </row>
    <row r="205" spans="1:168">
      <c r="A205" s="130"/>
      <c r="D205" s="123" t="s">
        <v>444</v>
      </c>
      <c r="L205" s="98"/>
      <c r="V205" s="123" t="s">
        <v>444</v>
      </c>
      <c r="AD205" s="98"/>
      <c r="AM205" s="123" t="s">
        <v>444</v>
      </c>
      <c r="AU205" s="98"/>
      <c r="BG205" s="130"/>
      <c r="BH205" s="123"/>
      <c r="BI205" s="123"/>
      <c r="BJ205" s="123" t="s">
        <v>444</v>
      </c>
      <c r="BK205" s="123"/>
      <c r="BL205" s="123"/>
      <c r="BM205" s="123"/>
      <c r="BN205" s="123"/>
      <c r="BO205" s="123"/>
      <c r="BP205" s="123"/>
      <c r="BQ205" s="123"/>
      <c r="BR205" s="123"/>
      <c r="BS205" s="98"/>
      <c r="FA205" s="130"/>
      <c r="FB205" s="123">
        <f t="shared" ref="FB205:FB206" si="611">FB198</f>
        <v>0.40115552078590799</v>
      </c>
      <c r="FC205" s="123"/>
      <c r="FD205" s="123">
        <f>ABS((FC184-FB185)/FC184)</f>
        <v>1.0141922728819106E-3</v>
      </c>
      <c r="FE205" s="123" t="s">
        <v>445</v>
      </c>
      <c r="FF205" s="123"/>
      <c r="FG205" s="123"/>
      <c r="FH205" s="123"/>
      <c r="FI205" s="123"/>
      <c r="FJ205" s="123"/>
      <c r="FK205" s="123"/>
      <c r="FL205" s="98"/>
    </row>
    <row r="206" spans="1:168">
      <c r="A206" s="130"/>
      <c r="B206" s="123">
        <f>B199</f>
        <v>1.0012057678258586</v>
      </c>
      <c r="D206" s="123">
        <f>ABS(C194-B195)/C194</f>
        <v>6.1941745215247986E-2</v>
      </c>
      <c r="E206" s="123" t="s">
        <v>446</v>
      </c>
      <c r="L206" s="98"/>
      <c r="T206" s="123">
        <f>T199</f>
        <v>1.0202918868094248</v>
      </c>
      <c r="V206" s="123">
        <f>ABS(U194-T195)/U194</f>
        <v>1.233520797178044E-2</v>
      </c>
      <c r="W206" s="123" t="s">
        <v>446</v>
      </c>
      <c r="AD206" s="98"/>
      <c r="AK206" s="123">
        <f>AK199</f>
        <v>1.0019985452449727</v>
      </c>
      <c r="AM206" s="123">
        <f>ABS(AL194-AK195)/AL194</f>
        <v>2.3776500891619359E-3</v>
      </c>
      <c r="AN206" s="123" t="s">
        <v>446</v>
      </c>
      <c r="AU206" s="98"/>
      <c r="BG206" s="130"/>
      <c r="BH206" s="123">
        <f>BH199</f>
        <v>1.0006673414229943</v>
      </c>
      <c r="BI206" s="123"/>
      <c r="BJ206" s="123">
        <f>ABS(BI194-BH195)/BI194</f>
        <v>8.051779133503769E-4</v>
      </c>
      <c r="BK206" s="123" t="s">
        <v>446</v>
      </c>
      <c r="BL206" s="123"/>
      <c r="BM206" s="123"/>
      <c r="BN206" s="123"/>
      <c r="BO206" s="123"/>
      <c r="BP206" s="123"/>
      <c r="BQ206" s="123"/>
      <c r="BR206" s="123"/>
      <c r="BS206" s="98"/>
      <c r="FA206" s="130"/>
      <c r="FB206" s="123">
        <f t="shared" si="611"/>
        <v>0.40250315276181936</v>
      </c>
      <c r="FC206" s="123"/>
      <c r="FD206" s="123"/>
      <c r="FE206" s="123"/>
      <c r="FF206" s="123"/>
      <c r="FG206" s="123"/>
      <c r="FH206" s="123"/>
      <c r="FI206" s="123"/>
      <c r="FJ206" s="123"/>
      <c r="FK206" s="123"/>
      <c r="FL206" s="98"/>
    </row>
    <row r="207" spans="1:168">
      <c r="A207" s="130"/>
      <c r="B207" s="123">
        <f t="shared" ref="B207:B208" si="612">B200</f>
        <v>1.0002589309603749</v>
      </c>
      <c r="D207" s="123">
        <f>ABS((C186-B187)/C186)</f>
        <v>9.4563599207574123E-2</v>
      </c>
      <c r="E207" s="123" t="s">
        <v>445</v>
      </c>
      <c r="L207" s="98"/>
      <c r="T207" s="123">
        <f t="shared" ref="T207:T208" si="613">T200</f>
        <v>1.0197869702187696</v>
      </c>
      <c r="V207" s="123">
        <f>ABS((U186-T187)/U186)</f>
        <v>9.0742919664294763E-3</v>
      </c>
      <c r="W207" s="123" t="s">
        <v>445</v>
      </c>
      <c r="AD207" s="98"/>
      <c r="AK207" s="123">
        <f t="shared" ref="AK207:AK208" si="614">AK200</f>
        <v>1.0018368055655209</v>
      </c>
      <c r="AM207" s="123">
        <f>ABS((AL186-AK187)/AL186)</f>
        <v>1.3852604835766632E-3</v>
      </c>
      <c r="AN207" s="123" t="s">
        <v>445</v>
      </c>
      <c r="AU207" s="98"/>
      <c r="BG207" s="130"/>
      <c r="BH207" s="123">
        <f t="shared" ref="BH207:BH208" si="615">BH200</f>
        <v>1.0006586855001927</v>
      </c>
      <c r="BI207" s="123"/>
      <c r="BJ207" s="123">
        <f>ABS((BI186-BH187)/BI186)</f>
        <v>2.8148160658416172E-5</v>
      </c>
      <c r="BK207" s="123" t="s">
        <v>445</v>
      </c>
      <c r="BL207" s="123"/>
      <c r="BM207" s="123"/>
      <c r="BN207" s="123"/>
      <c r="BO207" s="123"/>
      <c r="BP207" s="123"/>
      <c r="BQ207" s="123"/>
      <c r="BR207" s="123"/>
      <c r="BS207" s="98"/>
      <c r="FA207" s="130"/>
      <c r="FB207" s="123">
        <f>FD197</f>
        <v>0.40282476084105207</v>
      </c>
      <c r="FC207" s="123"/>
      <c r="FD207" s="123"/>
      <c r="FE207" s="123"/>
      <c r="FF207" s="123"/>
      <c r="FG207" s="123"/>
      <c r="FH207" s="123"/>
      <c r="FI207" s="123"/>
      <c r="FJ207" s="123"/>
      <c r="FK207" s="123"/>
      <c r="FL207" s="98"/>
    </row>
    <row r="208" spans="1:168">
      <c r="A208" s="130"/>
      <c r="B208" s="123">
        <f t="shared" si="612"/>
        <v>1.0002862547217997</v>
      </c>
      <c r="L208" s="98"/>
      <c r="T208" s="123">
        <f t="shared" si="613"/>
        <v>1.0198961937716262</v>
      </c>
      <c r="AD208" s="98"/>
      <c r="AK208" s="123">
        <f t="shared" si="614"/>
        <v>1.0021560363355535</v>
      </c>
      <c r="AU208" s="98"/>
      <c r="BG208" s="130"/>
      <c r="BH208" s="123">
        <f t="shared" si="615"/>
        <v>1.0006839086487116</v>
      </c>
      <c r="BI208" s="123"/>
      <c r="BJ208" s="123"/>
      <c r="BK208" s="123"/>
      <c r="BL208" s="123"/>
      <c r="BM208" s="123"/>
      <c r="BN208" s="123"/>
      <c r="BO208" s="123"/>
      <c r="BP208" s="123"/>
      <c r="BQ208" s="123"/>
      <c r="BR208" s="123"/>
      <c r="BS208" s="98"/>
      <c r="FA208" s="130"/>
      <c r="FB208" s="123">
        <f t="shared" ref="FB208:FB209" si="616">FD198</f>
        <v>0.39602871561271885</v>
      </c>
      <c r="FC208" s="123"/>
      <c r="FD208" s="123"/>
      <c r="FE208" s="123"/>
      <c r="FF208" s="123"/>
      <c r="FG208" s="123"/>
      <c r="FH208" s="123"/>
      <c r="FI208" s="123"/>
      <c r="FJ208" s="123"/>
      <c r="FK208" s="123"/>
      <c r="FL208" s="98"/>
    </row>
    <row r="209" spans="1:168">
      <c r="A209" s="130"/>
      <c r="B209" s="123">
        <f>D199</f>
        <v>0.9654739902236219</v>
      </c>
      <c r="L209" s="98"/>
      <c r="T209" s="123">
        <f>V199</f>
        <v>0.99821987573864301</v>
      </c>
      <c r="AD209" s="98"/>
      <c r="AK209" s="123">
        <f>AM199</f>
        <v>1.0008449514152937</v>
      </c>
      <c r="AU209" s="98"/>
      <c r="BG209" s="130"/>
      <c r="BH209" s="123">
        <f>BJ199</f>
        <v>0.99982548140391769</v>
      </c>
      <c r="BI209" s="123"/>
      <c r="BJ209" s="123"/>
      <c r="BK209" s="123"/>
      <c r="BL209" s="123"/>
      <c r="BM209" s="123"/>
      <c r="BN209" s="123"/>
      <c r="BO209" s="123"/>
      <c r="BP209" s="123"/>
      <c r="BQ209" s="123"/>
      <c r="BR209" s="123"/>
      <c r="BS209" s="98"/>
      <c r="FA209" s="130"/>
      <c r="FB209" s="123">
        <f t="shared" si="616"/>
        <v>0.38855848385820585</v>
      </c>
      <c r="FC209" s="123"/>
      <c r="FD209" s="123"/>
      <c r="FE209" s="123"/>
      <c r="FF209" s="123"/>
      <c r="FG209" s="123"/>
      <c r="FH209" s="123"/>
      <c r="FI209" s="123"/>
      <c r="FJ209" s="123"/>
      <c r="FK209" s="123"/>
      <c r="FL209" s="98"/>
    </row>
    <row r="210" spans="1:168" ht="15.75" thickBot="1">
      <c r="A210" s="130"/>
      <c r="B210" s="123">
        <f t="shared" ref="B210:B211" si="617">D200</f>
        <v>0.96589259306777575</v>
      </c>
      <c r="L210" s="98"/>
      <c r="T210" s="123">
        <f t="shared" ref="T210:T211" si="618">V200</f>
        <v>0.9981382823019731</v>
      </c>
      <c r="AD210" s="98"/>
      <c r="AK210" s="123">
        <f t="shared" ref="AK210:AK211" si="619">AM200</f>
        <v>1.0007246906999188</v>
      </c>
      <c r="AU210" s="98"/>
      <c r="BG210" s="130"/>
      <c r="BH210" s="123">
        <f t="shared" ref="BH210:BH211" si="620">BJ200</f>
        <v>0.99978384137582865</v>
      </c>
      <c r="BI210" s="123"/>
      <c r="BJ210" s="123"/>
      <c r="BK210" s="123"/>
      <c r="BL210" s="123"/>
      <c r="BM210" s="123"/>
      <c r="BN210" s="123"/>
      <c r="BO210" s="123"/>
      <c r="BP210" s="123"/>
      <c r="BQ210" s="123"/>
      <c r="BR210" s="123"/>
      <c r="BS210" s="98"/>
      <c r="FA210" s="131" t="s">
        <v>170</v>
      </c>
      <c r="FB210" s="126">
        <f>VAR(FB204:FB209)</f>
        <v>2.9670932629538663E-5</v>
      </c>
      <c r="FC210" s="126"/>
      <c r="FD210" s="126"/>
      <c r="FE210" s="126"/>
      <c r="FF210" s="126"/>
      <c r="FG210" s="126"/>
      <c r="FH210" s="126"/>
      <c r="FI210" s="126"/>
      <c r="FJ210" s="126"/>
      <c r="FK210" s="126"/>
      <c r="FL210" s="127"/>
    </row>
    <row r="211" spans="1:168" ht="15.75" thickTop="1">
      <c r="A211" s="130"/>
      <c r="B211" s="123">
        <f t="shared" si="617"/>
        <v>0.96950264932562602</v>
      </c>
      <c r="L211" s="98"/>
      <c r="T211" s="123">
        <f t="shared" si="618"/>
        <v>0.99875238669268673</v>
      </c>
      <c r="AD211" s="98"/>
      <c r="AK211" s="123">
        <f t="shared" si="619"/>
        <v>1.0003770682805551</v>
      </c>
      <c r="AU211" s="98"/>
      <c r="BG211" s="130"/>
      <c r="BH211" s="123">
        <f t="shared" si="620"/>
        <v>1.0000219593605435</v>
      </c>
      <c r="BI211" s="123"/>
      <c r="BJ211" s="123"/>
      <c r="BK211" s="123"/>
      <c r="BL211" s="123"/>
      <c r="BM211" s="123"/>
      <c r="BN211" s="123"/>
      <c r="BO211" s="123"/>
      <c r="BP211" s="123"/>
      <c r="BQ211" s="123"/>
      <c r="BR211" s="123"/>
      <c r="BS211" s="98"/>
      <c r="FA211" s="128"/>
      <c r="FB211" s="121"/>
      <c r="FC211" s="121"/>
      <c r="FD211" s="121"/>
      <c r="FE211" s="121"/>
      <c r="FF211" s="133" t="s">
        <v>239</v>
      </c>
      <c r="FG211" s="121"/>
      <c r="FH211" s="121"/>
      <c r="FI211" s="129" t="s">
        <v>464</v>
      </c>
      <c r="FJ211" s="121"/>
      <c r="FK211" s="121"/>
      <c r="FL211" s="122"/>
    </row>
    <row r="212" spans="1:168" ht="15.75" thickBot="1">
      <c r="A212" s="131" t="s">
        <v>170</v>
      </c>
      <c r="B212" s="126">
        <f>VAR(B206:B211)</f>
        <v>3.4131609230921451E-4</v>
      </c>
      <c r="C212" s="126"/>
      <c r="D212" s="126"/>
      <c r="E212" s="126"/>
      <c r="F212" s="126"/>
      <c r="G212" s="126"/>
      <c r="H212" s="126"/>
      <c r="I212" s="126"/>
      <c r="J212" s="126"/>
      <c r="K212" s="126"/>
      <c r="L212" s="127"/>
      <c r="S212" s="131" t="s">
        <v>170</v>
      </c>
      <c r="T212" s="126">
        <f>VAR(T206:T211)</f>
        <v>1.403195244508415E-4</v>
      </c>
      <c r="U212" s="126"/>
      <c r="V212" s="126"/>
      <c r="W212" s="126"/>
      <c r="X212" s="126"/>
      <c r="Y212" s="126"/>
      <c r="Z212" s="126"/>
      <c r="AA212" s="126"/>
      <c r="AB212" s="126"/>
      <c r="AC212" s="126"/>
      <c r="AD212" s="127"/>
      <c r="AJ212" s="131" t="s">
        <v>170</v>
      </c>
      <c r="AK212" s="126">
        <f>VAR(AK206:AK211)</f>
        <v>5.7911967153750983E-7</v>
      </c>
      <c r="AL212" s="126"/>
      <c r="AM212" s="126"/>
      <c r="AN212" s="126"/>
      <c r="AO212" s="126"/>
      <c r="AP212" s="126"/>
      <c r="AQ212" s="126"/>
      <c r="AR212" s="126"/>
      <c r="AS212" s="126"/>
      <c r="AT212" s="126"/>
      <c r="AU212" s="127"/>
      <c r="BG212" s="131" t="s">
        <v>170</v>
      </c>
      <c r="BH212" s="126">
        <f>VAR(BH206:BH211)</f>
        <v>1.9513462220429462E-7</v>
      </c>
      <c r="BI212" s="126"/>
      <c r="BJ212" s="126"/>
      <c r="BK212" s="126"/>
      <c r="BL212" s="126"/>
      <c r="BM212" s="126"/>
      <c r="BN212" s="126"/>
      <c r="BO212" s="126"/>
      <c r="BP212" s="126"/>
      <c r="BQ212" s="126"/>
      <c r="BR212" s="126"/>
      <c r="BS212" s="127"/>
      <c r="FA212" s="130" t="s">
        <v>167</v>
      </c>
      <c r="FB212" s="123"/>
      <c r="FC212" s="123"/>
      <c r="FD212" s="123"/>
      <c r="FE212" s="123"/>
      <c r="FF212" s="123"/>
      <c r="FG212" s="123"/>
      <c r="FH212" s="123" t="s">
        <v>168</v>
      </c>
      <c r="FI212" s="123"/>
      <c r="FJ212" s="123"/>
      <c r="FK212" s="123"/>
      <c r="FL212" s="98"/>
    </row>
    <row r="213" spans="1:168" ht="15.75" thickTop="1">
      <c r="A213" s="128"/>
      <c r="B213" s="121"/>
      <c r="C213" s="121"/>
      <c r="D213" s="121"/>
      <c r="E213" s="121"/>
      <c r="F213" s="133" t="s">
        <v>239</v>
      </c>
      <c r="G213" s="121"/>
      <c r="H213" s="121"/>
      <c r="I213" s="124" t="s">
        <v>185</v>
      </c>
      <c r="J213" s="121"/>
      <c r="K213" s="121"/>
      <c r="L213" s="122"/>
      <c r="S213" s="128"/>
      <c r="T213" s="121"/>
      <c r="U213" s="121"/>
      <c r="V213" s="121"/>
      <c r="W213" s="121"/>
      <c r="X213" s="133" t="s">
        <v>239</v>
      </c>
      <c r="Y213" s="121"/>
      <c r="Z213" s="121"/>
      <c r="AA213" s="129" t="s">
        <v>220</v>
      </c>
      <c r="AB213" s="121"/>
      <c r="AC213" s="121"/>
      <c r="AD213" s="122"/>
      <c r="AJ213" s="128"/>
      <c r="AK213" s="121"/>
      <c r="AL213" s="121"/>
      <c r="AM213" s="121"/>
      <c r="AN213" s="121"/>
      <c r="AO213" s="133" t="s">
        <v>239</v>
      </c>
      <c r="AP213" s="121"/>
      <c r="AQ213" s="121"/>
      <c r="AR213" s="129" t="s">
        <v>230</v>
      </c>
      <c r="AS213" s="121"/>
      <c r="AT213" s="121"/>
      <c r="AU213" s="122"/>
      <c r="BG213" s="128"/>
      <c r="BH213" s="121"/>
      <c r="BI213" s="121"/>
      <c r="BJ213" s="121"/>
      <c r="BK213" s="121"/>
      <c r="BL213" s="133" t="s">
        <v>239</v>
      </c>
      <c r="BM213" s="121"/>
      <c r="BN213" s="121"/>
      <c r="BO213" s="124" t="s">
        <v>195</v>
      </c>
      <c r="BP213" s="121"/>
      <c r="BQ213" s="121"/>
      <c r="BR213" s="121"/>
      <c r="BS213" s="122"/>
      <c r="FA213" s="1"/>
      <c r="FB213" s="2" t="s">
        <v>0</v>
      </c>
      <c r="FC213" s="2" t="s">
        <v>1</v>
      </c>
      <c r="FD213" s="2" t="s">
        <v>2</v>
      </c>
      <c r="FE213" s="3" t="s">
        <v>6</v>
      </c>
      <c r="FF213" s="103" t="s">
        <v>70</v>
      </c>
      <c r="FG213" s="103" t="s">
        <v>172</v>
      </c>
      <c r="FH213" s="123" t="s">
        <v>3</v>
      </c>
      <c r="FI213" s="123">
        <v>1000</v>
      </c>
      <c r="FJ213" s="123"/>
      <c r="FK213" s="123" t="s">
        <v>19</v>
      </c>
      <c r="FL213" s="123">
        <v>0.19975899999999999</v>
      </c>
    </row>
    <row r="214" spans="1:168" ht="15.75" thickBot="1">
      <c r="A214" s="130" t="s">
        <v>167</v>
      </c>
      <c r="H214" s="123" t="s">
        <v>168</v>
      </c>
      <c r="L214" s="98"/>
      <c r="S214" s="130" t="s">
        <v>167</v>
      </c>
      <c r="Z214" s="123" t="s">
        <v>168</v>
      </c>
      <c r="AD214" s="98"/>
      <c r="AJ214" s="130" t="s">
        <v>167</v>
      </c>
      <c r="AQ214" s="123" t="s">
        <v>168</v>
      </c>
      <c r="AU214" s="98"/>
      <c r="BG214" s="130" t="s">
        <v>167</v>
      </c>
      <c r="BH214" s="123"/>
      <c r="BI214" s="123"/>
      <c r="BJ214" s="123"/>
      <c r="BK214" s="123"/>
      <c r="BL214" s="123"/>
      <c r="BM214" s="123"/>
      <c r="BN214" s="123" t="s">
        <v>168</v>
      </c>
      <c r="BO214" s="123"/>
      <c r="BP214" s="123"/>
      <c r="BQ214" s="123"/>
      <c r="BR214" s="123"/>
      <c r="BS214" s="98"/>
      <c r="FA214" s="4" t="s">
        <v>3</v>
      </c>
      <c r="FB214" s="100">
        <v>297274</v>
      </c>
      <c r="FC214" s="5">
        <v>198760</v>
      </c>
      <c r="FD214" s="5">
        <v>98061.9</v>
      </c>
      <c r="FE214" s="104">
        <f>SUM(FB214:FD214)</f>
        <v>594095.9</v>
      </c>
      <c r="FF214" s="123">
        <f>FD214/FC214</f>
        <v>0.49336838398068017</v>
      </c>
      <c r="FG214" s="123">
        <f>FB214/FC214</f>
        <v>1.4956429865164016</v>
      </c>
      <c r="FH214" s="123" t="s">
        <v>4</v>
      </c>
      <c r="FI214" s="123">
        <v>1600</v>
      </c>
      <c r="FJ214" s="123"/>
      <c r="FK214" s="123"/>
      <c r="FL214" s="98"/>
    </row>
    <row r="215" spans="1:168" ht="15.75" thickTop="1">
      <c r="A215" s="1"/>
      <c r="B215" s="2" t="s">
        <v>0</v>
      </c>
      <c r="C215" s="2" t="s">
        <v>1</v>
      </c>
      <c r="D215" s="2" t="s">
        <v>2</v>
      </c>
      <c r="E215" s="3" t="s">
        <v>6</v>
      </c>
      <c r="F215" s="103" t="s">
        <v>70</v>
      </c>
      <c r="G215" s="103" t="s">
        <v>172</v>
      </c>
      <c r="H215" s="123" t="s">
        <v>3</v>
      </c>
      <c r="I215" s="123">
        <v>6</v>
      </c>
      <c r="K215" s="123" t="s">
        <v>19</v>
      </c>
      <c r="L215" s="98">
        <v>0.44540299999999999</v>
      </c>
      <c r="S215" s="1"/>
      <c r="T215" s="2" t="s">
        <v>0</v>
      </c>
      <c r="U215" s="2" t="s">
        <v>1</v>
      </c>
      <c r="V215" s="2" t="s">
        <v>2</v>
      </c>
      <c r="W215" s="3" t="s">
        <v>6</v>
      </c>
      <c r="X215" s="103" t="s">
        <v>70</v>
      </c>
      <c r="Y215" s="103" t="s">
        <v>172</v>
      </c>
      <c r="Z215" s="123" t="s">
        <v>3</v>
      </c>
      <c r="AA215" s="123">
        <v>12</v>
      </c>
      <c r="AC215" s="123" t="s">
        <v>19</v>
      </c>
      <c r="AD215" s="98">
        <v>0.51647200000000004</v>
      </c>
      <c r="AJ215" s="1"/>
      <c r="AK215" s="2" t="s">
        <v>0</v>
      </c>
      <c r="AL215" s="2" t="s">
        <v>1</v>
      </c>
      <c r="AM215" s="2" t="s">
        <v>2</v>
      </c>
      <c r="AN215" s="3" t="s">
        <v>6</v>
      </c>
      <c r="AO215" s="103" t="s">
        <v>70</v>
      </c>
      <c r="AP215" s="103" t="s">
        <v>172</v>
      </c>
      <c r="AQ215" s="123" t="s">
        <v>3</v>
      </c>
      <c r="AR215" s="123">
        <v>20</v>
      </c>
      <c r="AT215" s="123" t="s">
        <v>19</v>
      </c>
      <c r="AU215" s="98">
        <v>7.6402200000000003E-2</v>
      </c>
      <c r="BG215" s="1"/>
      <c r="BH215" s="2" t="s">
        <v>0</v>
      </c>
      <c r="BI215" s="2" t="s">
        <v>1</v>
      </c>
      <c r="BJ215" s="2" t="s">
        <v>2</v>
      </c>
      <c r="BK215" s="3" t="s">
        <v>6</v>
      </c>
      <c r="BL215" s="103" t="s">
        <v>70</v>
      </c>
      <c r="BM215" s="103" t="s">
        <v>172</v>
      </c>
      <c r="BN215" s="123" t="s">
        <v>3</v>
      </c>
      <c r="BO215" s="123">
        <v>30</v>
      </c>
      <c r="BP215" s="123"/>
      <c r="BQ215" s="123" t="s">
        <v>19</v>
      </c>
      <c r="BR215" s="123">
        <v>0.11326799999999999</v>
      </c>
      <c r="BS215" s="98"/>
      <c r="FA215" s="4" t="s">
        <v>4</v>
      </c>
      <c r="FB215" s="5">
        <v>197871</v>
      </c>
      <c r="FC215" s="5">
        <v>138109</v>
      </c>
      <c r="FD215" s="5">
        <v>68138.7</v>
      </c>
      <c r="FE215" s="106">
        <f t="shared" ref="FE215:FE217" si="621">SUM(FB215:FD215)</f>
        <v>404118.7</v>
      </c>
      <c r="FF215" s="123">
        <f t="shared" ref="FF215:FF217" si="622">FD215/FC215</f>
        <v>0.49336900564047237</v>
      </c>
      <c r="FG215" s="123">
        <f t="shared" ref="FG215:FG217" si="623">FB215/FC215</f>
        <v>1.4327161879385124</v>
      </c>
      <c r="FH215" s="123" t="s">
        <v>5</v>
      </c>
      <c r="FI215" s="123">
        <v>800</v>
      </c>
      <c r="FJ215" s="123"/>
      <c r="FK215" s="123"/>
      <c r="FL215" s="98"/>
    </row>
    <row r="216" spans="1:168">
      <c r="A216" s="4" t="s">
        <v>3</v>
      </c>
      <c r="B216" s="100">
        <v>103.953</v>
      </c>
      <c r="C216" s="5">
        <v>252.89099999999999</v>
      </c>
      <c r="D216" s="5">
        <v>168.98699999999999</v>
      </c>
      <c r="E216" s="104">
        <f>SUM(B216:D216)</f>
        <v>525.83100000000002</v>
      </c>
      <c r="F216" s="123">
        <f>D216/C216</f>
        <v>0.66822069587292554</v>
      </c>
      <c r="G216" s="123">
        <f>B216/C216</f>
        <v>0.41105851928301129</v>
      </c>
      <c r="H216" s="123" t="s">
        <v>4</v>
      </c>
      <c r="I216" s="123">
        <v>12</v>
      </c>
      <c r="L216" s="98"/>
      <c r="S216" s="4" t="s">
        <v>3</v>
      </c>
      <c r="T216" s="100">
        <v>26.241099999999999</v>
      </c>
      <c r="U216" s="5">
        <v>252.15899999999999</v>
      </c>
      <c r="V216" s="5">
        <v>151.60599999999999</v>
      </c>
      <c r="W216" s="104">
        <f>SUM(T216:V216)</f>
        <v>430.0061</v>
      </c>
      <c r="X216" s="123">
        <f>V216/U216</f>
        <v>0.60123176249905819</v>
      </c>
      <c r="Y216" s="123">
        <f>T216/U216</f>
        <v>0.10406568871228074</v>
      </c>
      <c r="Z216" s="123" t="s">
        <v>4</v>
      </c>
      <c r="AA216" s="123">
        <v>20</v>
      </c>
      <c r="AD216" s="98"/>
      <c r="AJ216" s="4" t="s">
        <v>3</v>
      </c>
      <c r="AK216" s="100">
        <v>7190.2</v>
      </c>
      <c r="AL216" s="5">
        <v>5505.5</v>
      </c>
      <c r="AM216" s="5">
        <v>1081.82</v>
      </c>
      <c r="AN216" s="104">
        <f>SUM(AK216:AM216)</f>
        <v>13777.52</v>
      </c>
      <c r="AO216" s="123">
        <f>AM216/AL216</f>
        <v>0.1964980474071383</v>
      </c>
      <c r="AP216" s="123">
        <f>AK216/AL216</f>
        <v>1.3060030878212696</v>
      </c>
      <c r="AQ216" s="123" t="s">
        <v>4</v>
      </c>
      <c r="AR216" s="123">
        <v>40</v>
      </c>
      <c r="AU216" s="98"/>
      <c r="BG216" s="4" t="s">
        <v>3</v>
      </c>
      <c r="BH216" s="100">
        <v>2125.08</v>
      </c>
      <c r="BI216" s="5">
        <v>4293.51</v>
      </c>
      <c r="BJ216" s="5">
        <v>726.61500000000001</v>
      </c>
      <c r="BK216" s="104">
        <f>SUM(BH216:BJ216)</f>
        <v>7145.2049999999999</v>
      </c>
      <c r="BL216" s="123">
        <f>BJ216/BI216</f>
        <v>0.16923566033385271</v>
      </c>
      <c r="BM216" s="123">
        <f>BH216/BI216</f>
        <v>0.49495168288882518</v>
      </c>
      <c r="BN216" s="123" t="s">
        <v>4</v>
      </c>
      <c r="BO216" s="123">
        <v>60</v>
      </c>
      <c r="BP216" s="123"/>
      <c r="BQ216" s="123"/>
      <c r="BR216" s="123"/>
      <c r="BS216" s="98"/>
      <c r="FA216" s="4" t="s">
        <v>5</v>
      </c>
      <c r="FB216" s="5">
        <v>98951.1</v>
      </c>
      <c r="FC216" s="5">
        <v>67249.5</v>
      </c>
      <c r="FD216" s="5">
        <v>33178.800000000003</v>
      </c>
      <c r="FE216" s="108">
        <f t="shared" si="621"/>
        <v>199379.40000000002</v>
      </c>
      <c r="FF216" s="123">
        <f t="shared" si="622"/>
        <v>0.49336872393103298</v>
      </c>
      <c r="FG216" s="123">
        <f t="shared" si="623"/>
        <v>1.4714027613588205</v>
      </c>
      <c r="FH216" s="85" t="s">
        <v>49</v>
      </c>
      <c r="FI216" s="124">
        <f>FI213+FI214+FI215</f>
        <v>3400</v>
      </c>
      <c r="FJ216" s="123" t="s">
        <v>457</v>
      </c>
      <c r="FK216" s="123"/>
      <c r="FL216" s="98"/>
    </row>
    <row r="217" spans="1:168" ht="15.75" thickBot="1">
      <c r="A217" s="4" t="s">
        <v>4</v>
      </c>
      <c r="B217" s="5">
        <v>263.721</v>
      </c>
      <c r="C217" s="5">
        <v>476.00200000000001</v>
      </c>
      <c r="D217" s="5">
        <v>318.07499999999999</v>
      </c>
      <c r="E217" s="106">
        <f t="shared" ref="E217:E219" si="624">SUM(B217:D217)</f>
        <v>1057.798</v>
      </c>
      <c r="F217" s="123">
        <f t="shared" ref="F217:F219" si="625">D217/C217</f>
        <v>0.66822198226057872</v>
      </c>
      <c r="G217" s="123">
        <f t="shared" ref="G217:G219" si="626">B217/C217</f>
        <v>0.55403338641434274</v>
      </c>
      <c r="H217" s="123" t="s">
        <v>5</v>
      </c>
      <c r="I217" s="123">
        <v>4</v>
      </c>
      <c r="L217" s="98"/>
      <c r="S217" s="4" t="s">
        <v>4</v>
      </c>
      <c r="T217" s="5">
        <v>290.041</v>
      </c>
      <c r="U217" s="5">
        <v>1659.26</v>
      </c>
      <c r="V217" s="5">
        <v>997.59900000000005</v>
      </c>
      <c r="W217" s="106">
        <f t="shared" ref="W217:W219" si="627">SUM(T217:V217)</f>
        <v>2946.9</v>
      </c>
      <c r="X217" s="123">
        <f t="shared" ref="X217:X219" si="628">V217/U217</f>
        <v>0.60123127177175373</v>
      </c>
      <c r="Y217" s="123">
        <f t="shared" ref="Y217:Y219" si="629">T217/U217</f>
        <v>0.17480141749936717</v>
      </c>
      <c r="Z217" s="123" t="s">
        <v>5</v>
      </c>
      <c r="AA217" s="123">
        <v>8</v>
      </c>
      <c r="AD217" s="98"/>
      <c r="AJ217" s="4" t="s">
        <v>4</v>
      </c>
      <c r="AK217" s="5">
        <v>5785.98</v>
      </c>
      <c r="AL217" s="5">
        <v>2719.86</v>
      </c>
      <c r="AM217" s="5">
        <v>534.447</v>
      </c>
      <c r="AN217" s="106">
        <f t="shared" ref="AN217:AN219" si="630">SUM(AK217:AM217)</f>
        <v>9040.2870000000003</v>
      </c>
      <c r="AO217" s="123">
        <f t="shared" ref="AO217:AO219" si="631">AM217/AL217</f>
        <v>0.19649798151375439</v>
      </c>
      <c r="AP217" s="123">
        <f t="shared" ref="AP217:AP219" si="632">AK217/AL217</f>
        <v>2.1273080232070765</v>
      </c>
      <c r="AQ217" s="123" t="s">
        <v>5</v>
      </c>
      <c r="AR217" s="123">
        <v>15</v>
      </c>
      <c r="AU217" s="98"/>
      <c r="BG217" s="4" t="s">
        <v>4</v>
      </c>
      <c r="BH217" s="5">
        <v>4312.66</v>
      </c>
      <c r="BI217" s="5">
        <v>8734.34</v>
      </c>
      <c r="BJ217" s="5">
        <v>1478.16</v>
      </c>
      <c r="BK217" s="106">
        <f t="shared" ref="BK217:BK219" si="633">SUM(BH217:BJ217)</f>
        <v>14525.16</v>
      </c>
      <c r="BL217" s="123">
        <f t="shared" ref="BL217:BL219" si="634">BJ217/BI217</f>
        <v>0.1692354545392096</v>
      </c>
      <c r="BM217" s="123">
        <f t="shared" ref="BM217:BM219" si="635">BH217/BI217</f>
        <v>0.49375911631560021</v>
      </c>
      <c r="BN217" s="123" t="s">
        <v>5</v>
      </c>
      <c r="BO217" s="123">
        <v>25</v>
      </c>
      <c r="BP217" s="123"/>
      <c r="BQ217" s="123"/>
      <c r="BR217" s="123"/>
      <c r="BS217" s="98"/>
      <c r="FA217" s="7"/>
      <c r="FB217" s="105">
        <f>SUM(FB214:FB216)</f>
        <v>594096.1</v>
      </c>
      <c r="FC217" s="107">
        <f>SUM(FC214:FC216)</f>
        <v>404118.5</v>
      </c>
      <c r="FD217" s="109">
        <f>SUM(FD214:FD216)</f>
        <v>199379.39999999997</v>
      </c>
      <c r="FE217" s="101">
        <f t="shared" si="621"/>
        <v>1197594</v>
      </c>
      <c r="FF217" s="123">
        <f t="shared" si="622"/>
        <v>0.49336865300648192</v>
      </c>
      <c r="FG217" s="123">
        <f t="shared" si="623"/>
        <v>1.4701036948320851</v>
      </c>
      <c r="FH217" s="123"/>
      <c r="FI217" s="123"/>
      <c r="FJ217" s="123"/>
      <c r="FK217" s="123"/>
      <c r="FL217" s="98"/>
    </row>
    <row r="218" spans="1:168" ht="15.75" thickTop="1">
      <c r="A218" s="4" t="s">
        <v>5</v>
      </c>
      <c r="B218" s="5">
        <v>158.15700000000001</v>
      </c>
      <c r="C218" s="5">
        <v>328.90499999999997</v>
      </c>
      <c r="D218" s="5">
        <v>219.78100000000001</v>
      </c>
      <c r="E218" s="108">
        <f t="shared" si="624"/>
        <v>706.84300000000007</v>
      </c>
      <c r="F218" s="123">
        <f t="shared" si="625"/>
        <v>0.66822030677551281</v>
      </c>
      <c r="G218" s="123">
        <f t="shared" si="626"/>
        <v>0.48085921466684917</v>
      </c>
      <c r="L218" s="98"/>
      <c r="S218" s="4" t="s">
        <v>5</v>
      </c>
      <c r="T218" s="5">
        <v>113.72499999999999</v>
      </c>
      <c r="U218" s="5">
        <v>1035.48</v>
      </c>
      <c r="V218" s="5">
        <v>622.56299999999999</v>
      </c>
      <c r="W218" s="108">
        <f t="shared" si="627"/>
        <v>1771.768</v>
      </c>
      <c r="X218" s="123">
        <f t="shared" si="628"/>
        <v>0.60123131301425425</v>
      </c>
      <c r="Y218" s="123">
        <f t="shared" si="629"/>
        <v>0.10982829219299262</v>
      </c>
      <c r="AD218" s="98"/>
      <c r="AJ218" s="4" t="s">
        <v>5</v>
      </c>
      <c r="AK218" s="5">
        <v>801.34</v>
      </c>
      <c r="AL218" s="5">
        <v>814.92499999999995</v>
      </c>
      <c r="AM218" s="5">
        <v>160.131</v>
      </c>
      <c r="AN218" s="108">
        <f t="shared" si="630"/>
        <v>1776.396</v>
      </c>
      <c r="AO218" s="123">
        <f t="shared" si="631"/>
        <v>0.19649783722428446</v>
      </c>
      <c r="AP218" s="123">
        <f t="shared" si="632"/>
        <v>0.98332975427186564</v>
      </c>
      <c r="AU218" s="98"/>
      <c r="BG218" s="4" t="s">
        <v>5</v>
      </c>
      <c r="BH218" s="5">
        <v>707.46299999999997</v>
      </c>
      <c r="BI218" s="5">
        <v>1497.31</v>
      </c>
      <c r="BJ218" s="5">
        <v>253.399</v>
      </c>
      <c r="BK218" s="108">
        <f t="shared" si="633"/>
        <v>2458.172</v>
      </c>
      <c r="BL218" s="123">
        <f t="shared" si="634"/>
        <v>0.16923616351991239</v>
      </c>
      <c r="BM218" s="123">
        <f t="shared" si="635"/>
        <v>0.4724893308666876</v>
      </c>
      <c r="BN218" s="123"/>
      <c r="BO218" s="123"/>
      <c r="BP218" s="123"/>
      <c r="BQ218" s="123"/>
      <c r="BR218" s="123"/>
      <c r="BS218" s="98"/>
      <c r="FA218" s="130"/>
      <c r="FB218" s="123"/>
      <c r="FC218" s="123"/>
      <c r="FD218" s="123"/>
      <c r="FE218" s="123"/>
      <c r="FF218" s="124" t="s">
        <v>420</v>
      </c>
      <c r="FG218" s="103">
        <f>AVERAGE(FG214:FG216)</f>
        <v>1.4665873119379116</v>
      </c>
      <c r="FH218" s="123"/>
      <c r="FI218" s="123"/>
      <c r="FJ218" s="123"/>
      <c r="FK218" s="123"/>
      <c r="FL218" s="98"/>
    </row>
    <row r="219" spans="1:168" ht="15.75" thickBot="1">
      <c r="A219" s="7"/>
      <c r="B219" s="105">
        <f>SUM(B216:B218)</f>
        <v>525.83100000000002</v>
      </c>
      <c r="C219" s="107">
        <f>SUM(C216:C218)</f>
        <v>1057.798</v>
      </c>
      <c r="D219" s="109">
        <f>SUM(D216:D218)</f>
        <v>706.84300000000007</v>
      </c>
      <c r="E219" s="101">
        <f t="shared" si="624"/>
        <v>2290.4719999999998</v>
      </c>
      <c r="F219" s="123">
        <f t="shared" si="625"/>
        <v>0.66822115375525393</v>
      </c>
      <c r="G219" s="123">
        <f t="shared" si="626"/>
        <v>0.49709963528008183</v>
      </c>
      <c r="L219" s="98"/>
      <c r="S219" s="7"/>
      <c r="T219" s="105">
        <f>SUM(T216:T218)</f>
        <v>430.00710000000004</v>
      </c>
      <c r="U219" s="107">
        <f>SUM(U216:U218)</f>
        <v>2946.8989999999999</v>
      </c>
      <c r="V219" s="109">
        <f>SUM(V216:V218)</f>
        <v>1771.768</v>
      </c>
      <c r="W219" s="101">
        <f t="shared" si="627"/>
        <v>5148.6741000000002</v>
      </c>
      <c r="X219" s="123">
        <f t="shared" si="628"/>
        <v>0.6012313282538696</v>
      </c>
      <c r="Y219" s="123">
        <f t="shared" si="629"/>
        <v>0.14591850619922841</v>
      </c>
      <c r="AD219" s="98"/>
      <c r="AJ219" s="7"/>
      <c r="AK219" s="105">
        <f>SUM(AK216:AK218)</f>
        <v>13777.52</v>
      </c>
      <c r="AL219" s="107">
        <f>SUM(AL216:AL218)</f>
        <v>9040.2849999999999</v>
      </c>
      <c r="AM219" s="109">
        <f>SUM(AM216:AM218)</f>
        <v>1776.3979999999999</v>
      </c>
      <c r="AN219" s="101">
        <f t="shared" si="630"/>
        <v>24594.203000000001</v>
      </c>
      <c r="AO219" s="123">
        <f t="shared" si="631"/>
        <v>0.19649800863578967</v>
      </c>
      <c r="AP219" s="123">
        <f t="shared" si="632"/>
        <v>1.5240139000042587</v>
      </c>
      <c r="AU219" s="98"/>
      <c r="BG219" s="7"/>
      <c r="BH219" s="105">
        <f>SUM(BH216:BH218)</f>
        <v>7145.2029999999995</v>
      </c>
      <c r="BI219" s="107">
        <f>SUM(BI216:BI218)</f>
        <v>14525.16</v>
      </c>
      <c r="BJ219" s="109">
        <f>SUM(BJ216:BJ218)</f>
        <v>2458.174</v>
      </c>
      <c r="BK219" s="101">
        <f t="shared" si="633"/>
        <v>24128.536999999997</v>
      </c>
      <c r="BL219" s="123">
        <f t="shared" si="634"/>
        <v>0.16923558845479156</v>
      </c>
      <c r="BM219" s="123">
        <f t="shared" si="635"/>
        <v>0.49191905631332111</v>
      </c>
      <c r="BN219" s="123"/>
      <c r="BO219" s="123"/>
      <c r="BP219" s="123"/>
      <c r="BQ219" s="123"/>
      <c r="BR219" s="123"/>
      <c r="BS219" s="98"/>
      <c r="FA219" s="130"/>
      <c r="FB219" s="123"/>
      <c r="FC219" s="123"/>
      <c r="FD219" s="123"/>
      <c r="FE219" s="123"/>
      <c r="FF219" s="123"/>
      <c r="FG219" s="123"/>
      <c r="FH219" s="123"/>
      <c r="FI219" s="123"/>
      <c r="FJ219" s="123" t="s">
        <v>419</v>
      </c>
      <c r="FK219" s="123">
        <v>1E-3</v>
      </c>
      <c r="FL219" s="98"/>
    </row>
    <row r="220" spans="1:168" ht="16.5" thickTop="1" thickBot="1">
      <c r="A220" s="130"/>
      <c r="F220" s="124" t="s">
        <v>420</v>
      </c>
      <c r="G220" s="103">
        <f>AVERAGE(G216:G218)</f>
        <v>0.48198370678806773</v>
      </c>
      <c r="L220" s="98"/>
      <c r="X220" s="124" t="s">
        <v>420</v>
      </c>
      <c r="Y220" s="103">
        <f>AVERAGE(Y216:Y218)</f>
        <v>0.12956513280154683</v>
      </c>
      <c r="AD220" s="98"/>
      <c r="AO220" s="124" t="s">
        <v>420</v>
      </c>
      <c r="AP220" s="103">
        <f>AVERAGE(AP216:AP218)</f>
        <v>1.4722136217667374</v>
      </c>
      <c r="AU220" s="98"/>
      <c r="BG220" s="130"/>
      <c r="BH220" s="123"/>
      <c r="BI220" s="123"/>
      <c r="BJ220" s="123"/>
      <c r="BK220" s="123"/>
      <c r="BL220" s="124" t="s">
        <v>420</v>
      </c>
      <c r="BM220" s="103">
        <f>AVERAGE(BM216:BM218)</f>
        <v>0.48706671002370433</v>
      </c>
      <c r="BN220" s="123"/>
      <c r="BO220" s="123"/>
      <c r="BP220" s="123"/>
      <c r="BQ220" s="123"/>
      <c r="BR220" s="123"/>
      <c r="BS220" s="98"/>
      <c r="FA220" s="140" t="s">
        <v>254</v>
      </c>
      <c r="FB220" s="123"/>
      <c r="FC220" s="123"/>
      <c r="FD220" s="123"/>
      <c r="FE220" s="123"/>
      <c r="FF220" s="123"/>
      <c r="FG220" s="123"/>
      <c r="FH220" s="123"/>
      <c r="FI220" s="123"/>
      <c r="FJ220" s="124" t="s">
        <v>218</v>
      </c>
      <c r="FK220" s="123"/>
      <c r="FL220" s="98"/>
    </row>
    <row r="221" spans="1:168" ht="15.75" thickTop="1">
      <c r="A221" s="130"/>
      <c r="L221" s="98"/>
      <c r="AD221" s="98"/>
      <c r="AU221" s="98"/>
      <c r="BG221" s="130"/>
      <c r="BH221" s="123"/>
      <c r="BI221" s="123"/>
      <c r="BJ221" s="123"/>
      <c r="BK221" s="123"/>
      <c r="BL221" s="123"/>
      <c r="BM221" s="123"/>
      <c r="BN221" s="123"/>
      <c r="BO221" s="123"/>
      <c r="BP221" s="123"/>
      <c r="BQ221" s="123"/>
      <c r="BR221" s="123"/>
      <c r="BS221" s="98"/>
      <c r="FA221" s="1"/>
      <c r="FB221" s="2" t="s">
        <v>8</v>
      </c>
      <c r="FC221" s="2" t="s">
        <v>9</v>
      </c>
      <c r="FD221" s="2" t="s">
        <v>10</v>
      </c>
      <c r="FE221" s="3" t="s">
        <v>11</v>
      </c>
      <c r="FF221" s="103" t="s">
        <v>16</v>
      </c>
      <c r="FG221" s="103" t="s">
        <v>172</v>
      </c>
      <c r="FH221" s="124" t="s">
        <v>171</v>
      </c>
      <c r="FI221" s="123"/>
      <c r="FJ221" s="123">
        <f>FK219</f>
        <v>1E-3</v>
      </c>
      <c r="FK221" s="103" t="s">
        <v>212</v>
      </c>
      <c r="FL221" s="98"/>
    </row>
    <row r="222" spans="1:168" ht="15.75" thickBot="1">
      <c r="A222" s="140" t="s">
        <v>254</v>
      </c>
      <c r="J222" s="124" t="s">
        <v>218</v>
      </c>
      <c r="L222" s="98"/>
      <c r="S222" s="140" t="s">
        <v>254</v>
      </c>
      <c r="AB222" s="124" t="s">
        <v>218</v>
      </c>
      <c r="AD222" s="98"/>
      <c r="AJ222" s="140" t="s">
        <v>254</v>
      </c>
      <c r="AS222" s="124" t="s">
        <v>218</v>
      </c>
      <c r="AU222" s="98"/>
      <c r="BG222" s="140" t="s">
        <v>254</v>
      </c>
      <c r="BH222" s="123"/>
      <c r="BI222" s="123"/>
      <c r="BJ222" s="123"/>
      <c r="BK222" s="123"/>
      <c r="BL222" s="123"/>
      <c r="BM222" s="123"/>
      <c r="BN222" s="123"/>
      <c r="BO222" s="123"/>
      <c r="BP222" s="123"/>
      <c r="BQ222" s="124" t="s">
        <v>218</v>
      </c>
      <c r="BR222" s="123"/>
      <c r="BS222" s="98"/>
      <c r="FA222" s="4" t="s">
        <v>3</v>
      </c>
      <c r="FB222" s="100">
        <v>297751</v>
      </c>
      <c r="FC222" s="5">
        <v>198230</v>
      </c>
      <c r="FD222" s="5">
        <v>99076.7</v>
      </c>
      <c r="FE222" s="110">
        <f>SUM(FB222:FD222)</f>
        <v>595057.69999999995</v>
      </c>
      <c r="FF222" s="123">
        <f>FD222/(FB222+FC222)</f>
        <v>0.19975906335121707</v>
      </c>
      <c r="FG222" s="123">
        <f>FB222/FC222</f>
        <v>1.5020481259143419</v>
      </c>
      <c r="FH222" s="125">
        <f>ABS((FE225-FE217)/FE217)</f>
        <v>9.6610370459593366E-5</v>
      </c>
      <c r="FI222" s="123"/>
      <c r="FJ222" s="123">
        <f>FK219</f>
        <v>1E-3</v>
      </c>
      <c r="FK222" s="123" t="s">
        <v>213</v>
      </c>
      <c r="FL222" s="98"/>
    </row>
    <row r="223" spans="1:168" ht="15.75" thickTop="1">
      <c r="A223" s="1"/>
      <c r="B223" s="2" t="s">
        <v>8</v>
      </c>
      <c r="C223" s="2" t="s">
        <v>9</v>
      </c>
      <c r="D223" s="2" t="s">
        <v>10</v>
      </c>
      <c r="E223" s="3" t="s">
        <v>11</v>
      </c>
      <c r="F223" s="103" t="s">
        <v>16</v>
      </c>
      <c r="G223" s="103" t="s">
        <v>172</v>
      </c>
      <c r="H223" s="124" t="s">
        <v>171</v>
      </c>
      <c r="J223" s="123">
        <v>0.08</v>
      </c>
      <c r="K223" s="103" t="s">
        <v>212</v>
      </c>
      <c r="L223" s="98" t="s">
        <v>240</v>
      </c>
      <c r="S223" s="1"/>
      <c r="T223" s="2" t="s">
        <v>8</v>
      </c>
      <c r="U223" s="2" t="s">
        <v>9</v>
      </c>
      <c r="V223" s="2" t="s">
        <v>10</v>
      </c>
      <c r="W223" s="3" t="s">
        <v>11</v>
      </c>
      <c r="X223" s="103" t="s">
        <v>16</v>
      </c>
      <c r="Y223" s="103" t="s">
        <v>172</v>
      </c>
      <c r="Z223" s="124" t="s">
        <v>171</v>
      </c>
      <c r="AB223" s="123">
        <v>0.01</v>
      </c>
      <c r="AC223" s="103" t="s">
        <v>212</v>
      </c>
      <c r="AD223" s="98"/>
      <c r="AJ223" s="1"/>
      <c r="AK223" s="2" t="s">
        <v>8</v>
      </c>
      <c r="AL223" s="2" t="s">
        <v>9</v>
      </c>
      <c r="AM223" s="2" t="s">
        <v>10</v>
      </c>
      <c r="AN223" s="3" t="s">
        <v>11</v>
      </c>
      <c r="AO223" s="103" t="s">
        <v>16</v>
      </c>
      <c r="AP223" s="103" t="s">
        <v>172</v>
      </c>
      <c r="AQ223" s="124" t="s">
        <v>171</v>
      </c>
      <c r="AS223" s="123">
        <v>0.05</v>
      </c>
      <c r="AT223" s="103" t="s">
        <v>212</v>
      </c>
      <c r="AU223" s="98"/>
      <c r="BG223" s="1"/>
      <c r="BH223" s="2" t="s">
        <v>8</v>
      </c>
      <c r="BI223" s="2" t="s">
        <v>9</v>
      </c>
      <c r="BJ223" s="2" t="s">
        <v>10</v>
      </c>
      <c r="BK223" s="3" t="s">
        <v>11</v>
      </c>
      <c r="BL223" s="103" t="s">
        <v>16</v>
      </c>
      <c r="BM223" s="103" t="s">
        <v>172</v>
      </c>
      <c r="BN223" s="124" t="s">
        <v>171</v>
      </c>
      <c r="BO223" s="123"/>
      <c r="BP223" s="123"/>
      <c r="BQ223" s="123">
        <v>1.4999999999999999E-2</v>
      </c>
      <c r="BR223" s="103" t="s">
        <v>212</v>
      </c>
      <c r="BS223" s="98" t="s">
        <v>240</v>
      </c>
      <c r="FA223" s="4" t="s">
        <v>4</v>
      </c>
      <c r="FB223" s="5">
        <v>198194</v>
      </c>
      <c r="FC223" s="5">
        <v>137741</v>
      </c>
      <c r="FD223" s="5">
        <v>67106.100000000006</v>
      </c>
      <c r="FE223" s="112">
        <f t="shared" ref="FE223:FE224" si="636">SUM(FB223:FD223)</f>
        <v>403041.1</v>
      </c>
      <c r="FF223" s="123">
        <f t="shared" ref="FF223:FF225" si="637">FD223/(FB223+FC223)</f>
        <v>0.19975917960319706</v>
      </c>
      <c r="FG223" s="123">
        <f t="shared" ref="FG223:FG225" si="638">FB223/FC223</f>
        <v>1.438888929222236</v>
      </c>
      <c r="FH223" s="123"/>
      <c r="FI223" s="123"/>
      <c r="FJ223" s="123">
        <f>FK219</f>
        <v>1E-3</v>
      </c>
      <c r="FK223" s="123" t="s">
        <v>214</v>
      </c>
      <c r="FL223" s="98"/>
    </row>
    <row r="224" spans="1:168">
      <c r="A224" s="4" t="s">
        <v>3</v>
      </c>
      <c r="B224" s="100">
        <v>102.872</v>
      </c>
      <c r="C224" s="5">
        <v>255.34100000000001</v>
      </c>
      <c r="D224" s="5">
        <v>159.54900000000001</v>
      </c>
      <c r="E224" s="110">
        <f>SUM(B224:D224)</f>
        <v>517.76200000000006</v>
      </c>
      <c r="F224" s="123">
        <f>D224/(B224+C224)</f>
        <v>0.44540259566235729</v>
      </c>
      <c r="G224" s="123">
        <f>B224/C224</f>
        <v>0.40288085344695918</v>
      </c>
      <c r="H224" s="125">
        <f>ABS((E227-E219)/E219)</f>
        <v>1.4608342734599936E-3</v>
      </c>
      <c r="J224" s="123">
        <f>J223</f>
        <v>0.08</v>
      </c>
      <c r="K224" s="123" t="s">
        <v>213</v>
      </c>
      <c r="L224" s="98" t="s">
        <v>241</v>
      </c>
      <c r="S224" s="4" t="s">
        <v>3</v>
      </c>
      <c r="T224" s="100">
        <v>26.197600000000001</v>
      </c>
      <c r="U224" s="5">
        <v>256.88099999999997</v>
      </c>
      <c r="V224" s="5">
        <v>146.202</v>
      </c>
      <c r="W224" s="110">
        <f>SUM(T224:V224)</f>
        <v>429.28059999999999</v>
      </c>
      <c r="X224" s="123">
        <f>V224/(T224+U224)</f>
        <v>0.51647139699009392</v>
      </c>
      <c r="Y224" s="123">
        <f>T224/U224</f>
        <v>0.10198340866004105</v>
      </c>
      <c r="Z224" s="125">
        <f>ABS((W227-W219)/W219)</f>
        <v>1.0414040383717351E-2</v>
      </c>
      <c r="AB224" s="123">
        <v>0.05</v>
      </c>
      <c r="AC224" s="123" t="s">
        <v>213</v>
      </c>
      <c r="AD224" s="98"/>
      <c r="AJ224" s="4" t="s">
        <v>3</v>
      </c>
      <c r="AK224" s="100">
        <v>7271.55</v>
      </c>
      <c r="AL224" s="5">
        <v>5673.62</v>
      </c>
      <c r="AM224" s="5">
        <v>989.04</v>
      </c>
      <c r="AN224" s="110">
        <f>SUM(AK224:AM224)</f>
        <v>13934.21</v>
      </c>
      <c r="AO224" s="123">
        <f>AM224/(AK224+AL224)</f>
        <v>7.6402241144766736E-2</v>
      </c>
      <c r="AP224" s="123">
        <f>AK224/AL224</f>
        <v>1.2816420556893131</v>
      </c>
      <c r="AQ224" s="125">
        <f>ABS((AN227-AN219)/AN219)</f>
        <v>1.7596423027003576E-2</v>
      </c>
      <c r="AS224" s="123">
        <f>AS223</f>
        <v>0.05</v>
      </c>
      <c r="AT224" s="123" t="s">
        <v>213</v>
      </c>
      <c r="AU224" s="98"/>
      <c r="BG224" s="4" t="s">
        <v>3</v>
      </c>
      <c r="BH224" s="100">
        <v>2128.58</v>
      </c>
      <c r="BI224" s="5">
        <v>4299.88</v>
      </c>
      <c r="BJ224" s="5">
        <v>728.13699999999994</v>
      </c>
      <c r="BK224" s="110">
        <f>SUM(BH224:BJ224)</f>
        <v>7156.5969999999998</v>
      </c>
      <c r="BL224" s="123">
        <f>BJ224/(BH224+BI224)</f>
        <v>0.1132677188626825</v>
      </c>
      <c r="BM224" s="123">
        <f>BH224/BI224</f>
        <v>0.49503241950938165</v>
      </c>
      <c r="BN224" s="125">
        <f>ABS((BK227-BK219)/BK219)</f>
        <v>1.32660343227614E-3</v>
      </c>
      <c r="BO224" s="123"/>
      <c r="BP224" s="123"/>
      <c r="BQ224" s="123">
        <f>BQ223</f>
        <v>1.4999999999999999E-2</v>
      </c>
      <c r="BR224" s="123" t="s">
        <v>213</v>
      </c>
      <c r="BS224" s="98" t="s">
        <v>241</v>
      </c>
      <c r="FA224" s="4" t="s">
        <v>5</v>
      </c>
      <c r="FB224" s="5">
        <v>99112.7</v>
      </c>
      <c r="FC224" s="5">
        <v>67070.2</v>
      </c>
      <c r="FD224" s="5">
        <v>33196.6</v>
      </c>
      <c r="FE224" s="108">
        <f t="shared" si="636"/>
        <v>199379.5</v>
      </c>
      <c r="FF224" s="123">
        <f t="shared" si="637"/>
        <v>0.19975942169741892</v>
      </c>
      <c r="FG224" s="123">
        <f t="shared" si="638"/>
        <v>1.4777457052461451</v>
      </c>
      <c r="FH224" s="123"/>
      <c r="FI224" s="123" t="s">
        <v>397</v>
      </c>
      <c r="FJ224" s="123"/>
      <c r="FK224" s="103" t="s">
        <v>215</v>
      </c>
      <c r="FL224" s="98"/>
    </row>
    <row r="225" spans="1:168" ht="15.75" thickBot="1">
      <c r="A225" s="4" t="s">
        <v>4</v>
      </c>
      <c r="B225" s="5">
        <v>259.79599999999999</v>
      </c>
      <c r="C225" s="5">
        <v>479.93799999999999</v>
      </c>
      <c r="D225" s="5">
        <v>329.47899999999998</v>
      </c>
      <c r="E225" s="112">
        <f t="shared" ref="E225:E226" si="639">SUM(B225:D225)</f>
        <v>1069.213</v>
      </c>
      <c r="F225" s="123">
        <f t="shared" ref="F225:F227" si="640">D225/(B225+C225)</f>
        <v>0.44540199585256324</v>
      </c>
      <c r="G225" s="123">
        <f t="shared" ref="G225:G227" si="641">B225/C225</f>
        <v>0.54131158607986862</v>
      </c>
      <c r="J225" s="123">
        <f t="shared" ref="J225:J228" si="642">J224</f>
        <v>0.08</v>
      </c>
      <c r="K225" s="123" t="s">
        <v>214</v>
      </c>
      <c r="L225" s="98" t="s">
        <v>242</v>
      </c>
      <c r="S225" s="4" t="s">
        <v>4</v>
      </c>
      <c r="T225" s="5">
        <v>289.60300000000001</v>
      </c>
      <c r="U225" s="5">
        <v>1689.49</v>
      </c>
      <c r="V225" s="5">
        <v>1022.15</v>
      </c>
      <c r="W225" s="112">
        <f t="shared" ref="W225:W226" si="643">SUM(T225:V225)</f>
        <v>3001.2429999999999</v>
      </c>
      <c r="X225" s="123">
        <f t="shared" ref="X225:X227" si="644">V225/(T225+U225)</f>
        <v>0.51647396054657357</v>
      </c>
      <c r="Y225" s="123">
        <f t="shared" ref="Y225:Y227" si="645">T225/U225</f>
        <v>0.17141445051465234</v>
      </c>
      <c r="AB225" s="123">
        <v>0.04</v>
      </c>
      <c r="AC225" s="123" t="s">
        <v>214</v>
      </c>
      <c r="AD225" s="98"/>
      <c r="AJ225" s="4" t="s">
        <v>4</v>
      </c>
      <c r="AK225" s="5">
        <v>5852.08</v>
      </c>
      <c r="AL225" s="5">
        <v>2803.02</v>
      </c>
      <c r="AM225" s="5">
        <v>661.26800000000003</v>
      </c>
      <c r="AN225" s="112">
        <f t="shared" ref="AN225:AN226" si="646">SUM(AK225:AM225)</f>
        <v>9316.3680000000004</v>
      </c>
      <c r="AO225" s="123">
        <f t="shared" ref="AO225:AO227" si="647">AM225/(AK225+AL225)</f>
        <v>7.640212129264827E-2</v>
      </c>
      <c r="AP225" s="123">
        <f t="shared" ref="AP225:AP227" si="648">AK225/AL225</f>
        <v>2.087776755071316</v>
      </c>
      <c r="AS225" s="123">
        <f>AS223*0.5</f>
        <v>2.5000000000000001E-2</v>
      </c>
      <c r="AT225" s="123" t="s">
        <v>214</v>
      </c>
      <c r="AU225" s="98"/>
      <c r="BG225" s="4" t="s">
        <v>4</v>
      </c>
      <c r="BH225" s="5">
        <v>4319.34</v>
      </c>
      <c r="BI225" s="5">
        <v>8746.49</v>
      </c>
      <c r="BJ225" s="5">
        <v>1479.94</v>
      </c>
      <c r="BK225" s="112">
        <f t="shared" ref="BK225:BK226" si="649">SUM(BH225:BJ225)</f>
        <v>14545.77</v>
      </c>
      <c r="BL225" s="123">
        <f t="shared" ref="BL225:BL227" si="650">BJ225/(BH225+BI225)</f>
        <v>0.11326796690298283</v>
      </c>
      <c r="BM225" s="123">
        <f t="shared" ref="BM225:BM227" si="651">BH225/BI225</f>
        <v>0.49383695631047431</v>
      </c>
      <c r="BN225" s="123"/>
      <c r="BO225" s="123"/>
      <c r="BP225" s="123"/>
      <c r="BQ225" s="123">
        <f t="shared" ref="BQ225" si="652">BQ224</f>
        <v>1.4999999999999999E-2</v>
      </c>
      <c r="BR225" s="123" t="s">
        <v>214</v>
      </c>
      <c r="BS225" s="98" t="s">
        <v>242</v>
      </c>
      <c r="FA225" s="7"/>
      <c r="FB225" s="111">
        <f>SUM(FB222:FB224)</f>
        <v>595057.69999999995</v>
      </c>
      <c r="FC225" s="113">
        <f t="shared" ref="FC225:FD225" si="653">SUM(FC222:FC224)</f>
        <v>403041.2</v>
      </c>
      <c r="FD225" s="109">
        <f t="shared" si="653"/>
        <v>199379.4</v>
      </c>
      <c r="FE225" s="102">
        <f>SUM(FE222:FE224)</f>
        <v>1197478.2999999998</v>
      </c>
      <c r="FF225" s="123">
        <f t="shared" si="637"/>
        <v>0.19975916214315034</v>
      </c>
      <c r="FG225" s="123">
        <f t="shared" si="638"/>
        <v>1.476419036068769</v>
      </c>
      <c r="FH225" s="123"/>
      <c r="FI225" s="123" t="s">
        <v>398</v>
      </c>
      <c r="FJ225" s="123"/>
      <c r="FK225" s="103" t="s">
        <v>216</v>
      </c>
      <c r="FL225" s="98"/>
    </row>
    <row r="226" spans="1:168" ht="15.75" thickTop="1">
      <c r="A226" s="4" t="s">
        <v>5</v>
      </c>
      <c r="B226" s="5">
        <v>155.09399999999999</v>
      </c>
      <c r="C226" s="5">
        <v>333.93400000000003</v>
      </c>
      <c r="D226" s="5">
        <v>217.815</v>
      </c>
      <c r="E226" s="108">
        <f t="shared" si="639"/>
        <v>706.84300000000007</v>
      </c>
      <c r="F226" s="123">
        <f t="shared" si="640"/>
        <v>0.44540394415043716</v>
      </c>
      <c r="G226" s="123">
        <f t="shared" si="641"/>
        <v>0.46444506998388896</v>
      </c>
      <c r="J226" s="123">
        <f t="shared" si="642"/>
        <v>0.08</v>
      </c>
      <c r="K226" s="103" t="s">
        <v>215</v>
      </c>
      <c r="L226" s="98" t="s">
        <v>243</v>
      </c>
      <c r="S226" s="4" t="s">
        <v>5</v>
      </c>
      <c r="T226" s="5">
        <v>113.48</v>
      </c>
      <c r="U226" s="5">
        <v>1054.8699999999999</v>
      </c>
      <c r="V226" s="5">
        <v>603.41899999999998</v>
      </c>
      <c r="W226" s="108">
        <f t="shared" si="643"/>
        <v>1771.7689999999998</v>
      </c>
      <c r="X226" s="123">
        <f t="shared" si="644"/>
        <v>0.51647109171053196</v>
      </c>
      <c r="Y226" s="123">
        <f t="shared" si="645"/>
        <v>0.10757723700550781</v>
      </c>
      <c r="AB226" s="103">
        <v>0.02</v>
      </c>
      <c r="AC226" s="103" t="s">
        <v>215</v>
      </c>
      <c r="AD226" s="98"/>
      <c r="AJ226" s="4" t="s">
        <v>5</v>
      </c>
      <c r="AK226" s="5">
        <v>810.58399999999995</v>
      </c>
      <c r="AL226" s="5">
        <v>839.72400000000005</v>
      </c>
      <c r="AM226" s="5">
        <v>126.087</v>
      </c>
      <c r="AN226" s="108">
        <f t="shared" si="646"/>
        <v>1776.395</v>
      </c>
      <c r="AO226" s="123">
        <f t="shared" si="647"/>
        <v>7.6402101910673648E-2</v>
      </c>
      <c r="AP226" s="123">
        <f t="shared" si="648"/>
        <v>0.96529812176381746</v>
      </c>
      <c r="AS226" s="103">
        <f>AS225</f>
        <v>2.5000000000000001E-2</v>
      </c>
      <c r="AT226" s="103" t="s">
        <v>215</v>
      </c>
      <c r="AU226" s="98"/>
      <c r="BG226" s="4" t="s">
        <v>5</v>
      </c>
      <c r="BH226" s="5">
        <v>708.67600000000004</v>
      </c>
      <c r="BI226" s="5">
        <v>1499.4</v>
      </c>
      <c r="BJ226" s="5">
        <v>250.10300000000001</v>
      </c>
      <c r="BK226" s="108">
        <f t="shared" si="649"/>
        <v>2458.1790000000001</v>
      </c>
      <c r="BL226" s="123">
        <f t="shared" si="650"/>
        <v>0.11326738753557396</v>
      </c>
      <c r="BM226" s="123">
        <f t="shared" si="651"/>
        <v>0.47263972255568892</v>
      </c>
      <c r="BN226" s="123"/>
      <c r="BO226" s="123"/>
      <c r="BP226" s="123"/>
      <c r="BQ226" s="123">
        <f t="shared" ref="BQ226" si="654">BQ225</f>
        <v>1.4999999999999999E-2</v>
      </c>
      <c r="BR226" s="103" t="s">
        <v>215</v>
      </c>
      <c r="BS226" s="98" t="s">
        <v>243</v>
      </c>
      <c r="FA226" s="130"/>
      <c r="FB226" s="123"/>
      <c r="FC226" s="123"/>
      <c r="FD226" s="123"/>
      <c r="FE226" s="123"/>
      <c r="FF226" s="124" t="s">
        <v>420</v>
      </c>
      <c r="FG226" s="103">
        <f>AVERAGE(FG222:FG224)</f>
        <v>1.4728942534609075</v>
      </c>
      <c r="FH226" s="123"/>
      <c r="FI226" s="123" t="s">
        <v>399</v>
      </c>
      <c r="FJ226" s="123"/>
      <c r="FK226" s="103" t="s">
        <v>217</v>
      </c>
      <c r="FL226" s="98"/>
    </row>
    <row r="227" spans="1:168" ht="15.75" thickBot="1">
      <c r="A227" s="7"/>
      <c r="B227" s="111">
        <f>SUM(B224:B226)</f>
        <v>517.76199999999994</v>
      </c>
      <c r="C227" s="113">
        <f t="shared" ref="C227:D227" si="655">SUM(C224:C226)</f>
        <v>1069.213</v>
      </c>
      <c r="D227" s="109">
        <f t="shared" si="655"/>
        <v>706.84300000000007</v>
      </c>
      <c r="E227" s="102">
        <f>SUM(E224:E226)</f>
        <v>2293.8180000000002</v>
      </c>
      <c r="F227" s="123">
        <f t="shared" si="640"/>
        <v>0.44540273161202926</v>
      </c>
      <c r="G227" s="123">
        <f t="shared" si="641"/>
        <v>0.48424588926621726</v>
      </c>
      <c r="J227" s="123">
        <f t="shared" si="642"/>
        <v>0.08</v>
      </c>
      <c r="K227" s="103" t="s">
        <v>216</v>
      </c>
      <c r="L227" s="98" t="s">
        <v>244</v>
      </c>
      <c r="S227" s="7"/>
      <c r="T227" s="111">
        <f>SUM(T224:T226)</f>
        <v>429.28060000000005</v>
      </c>
      <c r="U227" s="113">
        <f t="shared" ref="U227:V227" si="656">SUM(U224:U226)</f>
        <v>3001.241</v>
      </c>
      <c r="V227" s="109">
        <f t="shared" si="656"/>
        <v>1771.7709999999997</v>
      </c>
      <c r="W227" s="102">
        <f>SUM(W224:W226)</f>
        <v>5202.2925999999998</v>
      </c>
      <c r="X227" s="123">
        <f t="shared" si="644"/>
        <v>0.51647277195397912</v>
      </c>
      <c r="Y227" s="123">
        <f t="shared" si="645"/>
        <v>0.14303436478443418</v>
      </c>
      <c r="AB227" s="103">
        <v>5.5E-2</v>
      </c>
      <c r="AC227" s="103" t="s">
        <v>216</v>
      </c>
      <c r="AD227" s="98"/>
      <c r="AJ227" s="7"/>
      <c r="AK227" s="111">
        <f>SUM(AK224:AK226)</f>
        <v>13934.214000000002</v>
      </c>
      <c r="AL227" s="113">
        <f t="shared" ref="AL227:AM227" si="657">SUM(AL224:AL226)</f>
        <v>9316.3639999999996</v>
      </c>
      <c r="AM227" s="109">
        <f t="shared" si="657"/>
        <v>1776.395</v>
      </c>
      <c r="AN227" s="102">
        <f>SUM(AN224:AN226)</f>
        <v>25026.973000000002</v>
      </c>
      <c r="AO227" s="123">
        <f t="shared" si="647"/>
        <v>7.6402186646714762E-2</v>
      </c>
      <c r="AP227" s="123">
        <f t="shared" si="648"/>
        <v>1.4956708432603107</v>
      </c>
      <c r="AS227" s="103">
        <f>AS223*0.3</f>
        <v>1.4999999999999999E-2</v>
      </c>
      <c r="AT227" s="103" t="s">
        <v>216</v>
      </c>
      <c r="AU227" s="98"/>
      <c r="BG227" s="7"/>
      <c r="BH227" s="111">
        <f>SUM(BH224:BH226)</f>
        <v>7156.5960000000005</v>
      </c>
      <c r="BI227" s="113">
        <f t="shared" ref="BI227:BJ227" si="658">SUM(BI224:BI226)</f>
        <v>14545.769999999999</v>
      </c>
      <c r="BJ227" s="109">
        <f t="shared" si="658"/>
        <v>2458.1800000000003</v>
      </c>
      <c r="BK227" s="102">
        <f>SUM(BK224:BK226)</f>
        <v>24160.545999999998</v>
      </c>
      <c r="BL227" s="123">
        <f t="shared" si="650"/>
        <v>0.11326783448403739</v>
      </c>
      <c r="BM227" s="123">
        <f t="shared" si="651"/>
        <v>0.49200530463495579</v>
      </c>
      <c r="BN227" s="123"/>
      <c r="BO227" s="123"/>
      <c r="BP227" s="123"/>
      <c r="BQ227" s="123">
        <f t="shared" ref="BQ227" si="659">BQ226</f>
        <v>1.4999999999999999E-2</v>
      </c>
      <c r="BR227" s="103" t="s">
        <v>216</v>
      </c>
      <c r="BS227" s="98" t="s">
        <v>244</v>
      </c>
      <c r="FA227" s="130" t="s">
        <v>12</v>
      </c>
      <c r="FB227" s="123">
        <f>FB222/FB214</f>
        <v>1.0016045802862006</v>
      </c>
      <c r="FC227" s="123" t="s">
        <v>163</v>
      </c>
      <c r="FD227" s="123">
        <f>FC222/FC214</f>
        <v>0.99733346749849061</v>
      </c>
      <c r="FE227" s="124" t="s">
        <v>255</v>
      </c>
      <c r="FF227" s="123"/>
      <c r="FG227" s="123"/>
      <c r="FH227" s="123"/>
      <c r="FI227" s="123"/>
      <c r="FJ227" s="124" t="s">
        <v>396</v>
      </c>
      <c r="FK227" s="123"/>
      <c r="FL227" s="98"/>
    </row>
    <row r="228" spans="1:168" ht="15.75" thickTop="1">
      <c r="A228" s="130"/>
      <c r="F228" s="124" t="s">
        <v>420</v>
      </c>
      <c r="G228" s="103">
        <f>AVERAGE(G224:G226)</f>
        <v>0.46954583650357223</v>
      </c>
      <c r="J228" s="123">
        <f t="shared" si="642"/>
        <v>0.08</v>
      </c>
      <c r="K228" s="103" t="s">
        <v>217</v>
      </c>
      <c r="L228" s="98" t="s">
        <v>245</v>
      </c>
      <c r="X228" s="124" t="s">
        <v>420</v>
      </c>
      <c r="Y228" s="103">
        <f>AVERAGE(Y224:Y226)</f>
        <v>0.12699169872673374</v>
      </c>
      <c r="AB228" s="103">
        <v>0.08</v>
      </c>
      <c r="AC228" s="103" t="s">
        <v>217</v>
      </c>
      <c r="AD228" s="98"/>
      <c r="AO228" s="124" t="s">
        <v>420</v>
      </c>
      <c r="AP228" s="103">
        <f>AVERAGE(AP224:AP226)</f>
        <v>1.4449056441748154</v>
      </c>
      <c r="AS228" s="103">
        <f>AS227</f>
        <v>1.4999999999999999E-2</v>
      </c>
      <c r="AT228" s="103" t="s">
        <v>217</v>
      </c>
      <c r="AU228" s="98"/>
      <c r="BG228" s="130"/>
      <c r="BH228" s="123"/>
      <c r="BI228" s="123"/>
      <c r="BJ228" s="123"/>
      <c r="BK228" s="123"/>
      <c r="BL228" s="124" t="s">
        <v>420</v>
      </c>
      <c r="BM228" s="103">
        <f>AVERAGE(BM224:BM226)</f>
        <v>0.4871696994585149</v>
      </c>
      <c r="BN228" s="123"/>
      <c r="BO228" s="123"/>
      <c r="BP228" s="123"/>
      <c r="BQ228" s="123">
        <f t="shared" ref="BQ228" si="660">BQ227</f>
        <v>1.4999999999999999E-2</v>
      </c>
      <c r="BR228" s="103" t="s">
        <v>217</v>
      </c>
      <c r="BS228" s="98" t="s">
        <v>245</v>
      </c>
      <c r="FA228" s="130" t="s">
        <v>13</v>
      </c>
      <c r="FB228" s="123">
        <f t="shared" ref="FB228:FB229" si="661">FB223/FB215</f>
        <v>1.0016323766494333</v>
      </c>
      <c r="FC228" s="123" t="s">
        <v>164</v>
      </c>
      <c r="FD228" s="123">
        <f t="shared" ref="FD228:FD229" si="662">FC223/FC215</f>
        <v>0.99733543795118351</v>
      </c>
      <c r="FE228" s="123">
        <f>VAR(FG214:FG216)</f>
        <v>1.007336909659559E-3</v>
      </c>
      <c r="FF228" s="124">
        <f>STDEV(FG214:FG216)/FG218</f>
        <v>2.1641105896111561E-2</v>
      </c>
      <c r="FG228" s="124" t="s">
        <v>449</v>
      </c>
      <c r="FH228" s="123"/>
      <c r="FI228" s="123"/>
      <c r="FJ228" s="123" t="s">
        <v>415</v>
      </c>
      <c r="FK228" s="123"/>
      <c r="FL228" s="98"/>
    </row>
    <row r="229" spans="1:168">
      <c r="A229" s="130" t="s">
        <v>12</v>
      </c>
      <c r="B229" s="123">
        <f>B224/B216</f>
        <v>0.9896010697141977</v>
      </c>
      <c r="C229" s="123" t="s">
        <v>163</v>
      </c>
      <c r="D229" s="123">
        <f>C224/C216</f>
        <v>1.0096879683341835</v>
      </c>
      <c r="E229" s="124" t="s">
        <v>255</v>
      </c>
      <c r="J229" s="124" t="s">
        <v>246</v>
      </c>
      <c r="L229" s="98"/>
      <c r="S229" s="130" t="s">
        <v>12</v>
      </c>
      <c r="T229" s="123">
        <f>T224/T216</f>
        <v>0.99834229510195849</v>
      </c>
      <c r="U229" s="123" t="s">
        <v>163</v>
      </c>
      <c r="V229" s="123">
        <f>U224/U216</f>
        <v>1.0187262798472392</v>
      </c>
      <c r="W229" s="124" t="s">
        <v>255</v>
      </c>
      <c r="AB229" s="138" t="s">
        <v>249</v>
      </c>
      <c r="AD229" s="98"/>
      <c r="AJ229" s="130" t="s">
        <v>12</v>
      </c>
      <c r="AK229" s="123">
        <f>AK224/AK216</f>
        <v>1.0113140107368364</v>
      </c>
      <c r="AL229" s="123" t="s">
        <v>163</v>
      </c>
      <c r="AM229" s="123">
        <f>AL224/AL216</f>
        <v>1.0305367359912814</v>
      </c>
      <c r="AN229" s="124" t="s">
        <v>255</v>
      </c>
      <c r="AS229" s="139" t="s">
        <v>248</v>
      </c>
      <c r="AU229" s="98"/>
      <c r="BG229" s="130" t="s">
        <v>12</v>
      </c>
      <c r="BH229" s="123">
        <f>BH224/BH216</f>
        <v>1.0016469968189432</v>
      </c>
      <c r="BI229" s="123" t="s">
        <v>163</v>
      </c>
      <c r="BJ229" s="123">
        <f>BI224/BI216</f>
        <v>1.0014836346019922</v>
      </c>
      <c r="BK229" s="124" t="s">
        <v>255</v>
      </c>
      <c r="BL229" s="123"/>
      <c r="BM229" s="123"/>
      <c r="BN229" s="123"/>
      <c r="BO229" s="123"/>
      <c r="BP229" s="123"/>
      <c r="BQ229" s="124" t="s">
        <v>246</v>
      </c>
      <c r="BR229" s="123"/>
      <c r="BS229" s="98"/>
      <c r="FA229" s="130" t="s">
        <v>14</v>
      </c>
      <c r="FB229" s="123">
        <f t="shared" si="661"/>
        <v>1.001633129899516</v>
      </c>
      <c r="FC229" s="123" t="s">
        <v>165</v>
      </c>
      <c r="FD229" s="123">
        <f t="shared" si="662"/>
        <v>0.99733380917330239</v>
      </c>
      <c r="FE229" s="123">
        <f>FE228/FG218</f>
        <v>6.8685778300406081E-4</v>
      </c>
      <c r="FF229" s="123"/>
      <c r="FG229" s="124" t="s">
        <v>438</v>
      </c>
      <c r="FH229" s="123"/>
      <c r="FI229" s="123"/>
      <c r="FJ229" s="123" t="s">
        <v>403</v>
      </c>
      <c r="FK229" s="123">
        <v>1</v>
      </c>
      <c r="FL229" s="98" t="s">
        <v>416</v>
      </c>
    </row>
    <row r="230" spans="1:168">
      <c r="A230" s="130" t="s">
        <v>13</v>
      </c>
      <c r="B230" s="123">
        <f t="shared" ref="B230:B231" si="663">B225/B217</f>
        <v>0.98511684697085178</v>
      </c>
      <c r="C230" s="123" t="s">
        <v>164</v>
      </c>
      <c r="D230" s="123">
        <f t="shared" ref="D230:D231" si="664">C225/C217</f>
        <v>1.0082688728198621</v>
      </c>
      <c r="E230" s="123">
        <f>VAR(G216:G218)</f>
        <v>5.1114015197034623E-3</v>
      </c>
      <c r="F230" s="124">
        <f>STDEV(G216:G218)/G220</f>
        <v>0.14833295258376059</v>
      </c>
      <c r="G230" s="124" t="s">
        <v>449</v>
      </c>
      <c r="L230" s="98"/>
      <c r="S230" s="130" t="s">
        <v>13</v>
      </c>
      <c r="T230" s="123">
        <f t="shared" ref="T230:T231" si="665">T225/T217</f>
        <v>0.99848986867373923</v>
      </c>
      <c r="U230" s="123" t="s">
        <v>164</v>
      </c>
      <c r="V230" s="123">
        <f t="shared" ref="V230:V231" si="666">U225/U217</f>
        <v>1.0182189650808191</v>
      </c>
      <c r="W230" s="123">
        <f>VAR(Y216:Y218)</f>
        <v>1.5430429896656737E-3</v>
      </c>
      <c r="X230" s="124">
        <f>STDEV(Y216:Y218)/Y220</f>
        <v>0.30318022322784816</v>
      </c>
      <c r="Y230" s="124" t="s">
        <v>449</v>
      </c>
      <c r="AD230" s="98"/>
      <c r="AJ230" s="130" t="s">
        <v>13</v>
      </c>
      <c r="AK230" s="123">
        <f t="shared" ref="AK230:AK231" si="667">AK225/AK217</f>
        <v>1.0114241666925914</v>
      </c>
      <c r="AL230" s="123" t="s">
        <v>164</v>
      </c>
      <c r="AM230" s="123">
        <f t="shared" ref="AM230:AM231" si="668">AL225/AL217</f>
        <v>1.0305751031303081</v>
      </c>
      <c r="AN230" s="123">
        <f>VAR(AP216:AP218)</f>
        <v>0.34789102614482736</v>
      </c>
      <c r="AO230" s="124">
        <f>STDEV(AP216:AP218)/AP220</f>
        <v>0.4006367474156437</v>
      </c>
      <c r="AP230" s="124" t="s">
        <v>449</v>
      </c>
      <c r="AU230" s="98"/>
      <c r="BG230" s="130" t="s">
        <v>13</v>
      </c>
      <c r="BH230" s="123">
        <f t="shared" ref="BH230:BH231" si="669">BH225/BH217</f>
        <v>1.0015489280397714</v>
      </c>
      <c r="BI230" s="123" t="s">
        <v>164</v>
      </c>
      <c r="BJ230" s="123">
        <f t="shared" ref="BJ230:BJ231" si="670">BI225/BI217</f>
        <v>1.0013910610303698</v>
      </c>
      <c r="BK230" s="123">
        <f>VAR(BM216:BM218)</f>
        <v>1.5973054107346283E-4</v>
      </c>
      <c r="BL230" s="124">
        <f>STDEV(BM216:BM218)/BM220</f>
        <v>2.5948098264547213E-2</v>
      </c>
      <c r="BM230" s="124" t="s">
        <v>449</v>
      </c>
      <c r="BN230" s="123"/>
      <c r="BO230" s="123"/>
      <c r="BP230" s="123"/>
      <c r="BQ230" s="123"/>
      <c r="BR230" s="123"/>
      <c r="BS230" s="98"/>
      <c r="FA230" s="130" t="s">
        <v>15</v>
      </c>
      <c r="FB230" s="123">
        <f>FE222/FE214</f>
        <v>1.0016189305463983</v>
      </c>
      <c r="FC230" s="123" t="s">
        <v>67</v>
      </c>
      <c r="FD230" s="123">
        <f>FE223/FE215</f>
        <v>0.9973334567294212</v>
      </c>
      <c r="FE230" s="124" t="s">
        <v>256</v>
      </c>
      <c r="FF230" s="123"/>
      <c r="FG230" s="123"/>
      <c r="FH230" s="123"/>
      <c r="FI230" s="123"/>
      <c r="FJ230" s="123" t="s">
        <v>401</v>
      </c>
      <c r="FK230" s="123">
        <v>500</v>
      </c>
      <c r="FL230" s="98" t="s">
        <v>417</v>
      </c>
    </row>
    <row r="231" spans="1:168">
      <c r="A231" s="130" t="s">
        <v>14</v>
      </c>
      <c r="B231" s="123">
        <f t="shared" si="663"/>
        <v>0.98063316830744118</v>
      </c>
      <c r="C231" s="123" t="s">
        <v>165</v>
      </c>
      <c r="D231" s="123">
        <f t="shared" si="664"/>
        <v>1.0152901293686629</v>
      </c>
      <c r="G231" s="124" t="s">
        <v>438</v>
      </c>
      <c r="L231" s="98"/>
      <c r="S231" s="130" t="s">
        <v>14</v>
      </c>
      <c r="T231" s="123">
        <f t="shared" si="665"/>
        <v>0.99784568036931198</v>
      </c>
      <c r="U231" s="123" t="s">
        <v>165</v>
      </c>
      <c r="V231" s="123">
        <f t="shared" si="666"/>
        <v>1.0187256151736392</v>
      </c>
      <c r="Y231" s="124" t="s">
        <v>438</v>
      </c>
      <c r="AD231" s="98"/>
      <c r="AJ231" s="130" t="s">
        <v>14</v>
      </c>
      <c r="AK231" s="123">
        <f t="shared" si="667"/>
        <v>1.0115356777397857</v>
      </c>
      <c r="AL231" s="123" t="s">
        <v>165</v>
      </c>
      <c r="AM231" s="123">
        <f t="shared" si="668"/>
        <v>1.0304310212596253</v>
      </c>
      <c r="AP231" s="124" t="s">
        <v>438</v>
      </c>
      <c r="AU231" s="98"/>
      <c r="BG231" s="130" t="s">
        <v>14</v>
      </c>
      <c r="BH231" s="123">
        <f t="shared" si="669"/>
        <v>1.0017145772994489</v>
      </c>
      <c r="BI231" s="123" t="s">
        <v>165</v>
      </c>
      <c r="BJ231" s="123">
        <f t="shared" si="670"/>
        <v>1.0013958365335169</v>
      </c>
      <c r="BK231" s="123"/>
      <c r="BL231" s="123"/>
      <c r="BM231" s="124" t="s">
        <v>438</v>
      </c>
      <c r="BN231" s="123"/>
      <c r="BO231" s="123"/>
      <c r="BP231" s="123"/>
      <c r="BQ231" s="123"/>
      <c r="BR231" s="123"/>
      <c r="BS231" s="98"/>
      <c r="FA231" s="130" t="s">
        <v>170</v>
      </c>
      <c r="FB231" s="123">
        <f>VAR(FB227:FB229)</f>
        <v>2.6471426918535759E-10</v>
      </c>
      <c r="FC231" s="123" t="s">
        <v>170</v>
      </c>
      <c r="FD231" s="123">
        <f>VAR(FD227:FD229)</f>
        <v>1.108723813000445E-12</v>
      </c>
      <c r="FE231" s="123">
        <f>VAR(FG222:FG224)</f>
        <v>1.014923470016393E-3</v>
      </c>
      <c r="FF231" s="124">
        <f>STDEV(FG222:FG224)/FG226</f>
        <v>2.1629430270275071E-2</v>
      </c>
      <c r="FG231" s="124" t="s">
        <v>449</v>
      </c>
      <c r="FH231" s="123"/>
      <c r="FI231" s="123"/>
      <c r="FJ231" s="123"/>
      <c r="FK231" s="123"/>
      <c r="FL231" s="98"/>
    </row>
    <row r="232" spans="1:168">
      <c r="A232" s="130" t="s">
        <v>15</v>
      </c>
      <c r="B232" s="123">
        <f>E224/E216</f>
        <v>0.98465476550450626</v>
      </c>
      <c r="C232" s="123" t="s">
        <v>67</v>
      </c>
      <c r="D232" s="123">
        <f>E225/E217</f>
        <v>1.0107912852926551</v>
      </c>
      <c r="E232" s="124" t="s">
        <v>256</v>
      </c>
      <c r="L232" s="98"/>
      <c r="S232" s="130" t="s">
        <v>15</v>
      </c>
      <c r="T232" s="123">
        <f>W224/W216</f>
        <v>0.99831281463216448</v>
      </c>
      <c r="U232" s="123" t="s">
        <v>67</v>
      </c>
      <c r="V232" s="123">
        <f>W225/W217</f>
        <v>1.0184407343309918</v>
      </c>
      <c r="W232" s="124" t="s">
        <v>256</v>
      </c>
      <c r="AD232" s="98"/>
      <c r="AJ232" s="130" t="s">
        <v>15</v>
      </c>
      <c r="AK232" s="123">
        <f>AN224/AN216</f>
        <v>1.0113728740731278</v>
      </c>
      <c r="AL232" s="123" t="s">
        <v>67</v>
      </c>
      <c r="AM232" s="123">
        <f>AN225/AN217</f>
        <v>1.030538964083773</v>
      </c>
      <c r="AN232" s="124" t="s">
        <v>256</v>
      </c>
      <c r="AU232" s="98"/>
      <c r="BG232" s="130" t="s">
        <v>15</v>
      </c>
      <c r="BH232" s="123">
        <f>BK224/BK216</f>
        <v>1.0015943559352041</v>
      </c>
      <c r="BI232" s="123" t="s">
        <v>67</v>
      </c>
      <c r="BJ232" s="123">
        <f>BK225/BK217</f>
        <v>1.0014189172442851</v>
      </c>
      <c r="BK232" s="124" t="s">
        <v>256</v>
      </c>
      <c r="BL232" s="123"/>
      <c r="BM232" s="123"/>
      <c r="BN232" s="123"/>
      <c r="BO232" s="123"/>
      <c r="BP232" s="123"/>
      <c r="BQ232" s="123"/>
      <c r="BR232" s="123"/>
      <c r="BS232" s="98"/>
      <c r="FA232" s="130"/>
      <c r="FB232" s="123"/>
      <c r="FC232" s="123"/>
      <c r="FD232" s="123"/>
      <c r="FE232" s="123">
        <f>FE231/FG226</f>
        <v>6.8906743823026969E-4</v>
      </c>
      <c r="FF232" s="123"/>
      <c r="FG232" s="124" t="s">
        <v>438</v>
      </c>
      <c r="FH232" s="123"/>
      <c r="FI232" s="123"/>
      <c r="FJ232" s="123"/>
      <c r="FK232" s="123"/>
      <c r="FL232" s="98"/>
    </row>
    <row r="233" spans="1:168">
      <c r="A233" s="130" t="s">
        <v>170</v>
      </c>
      <c r="B233" s="123">
        <f>VAR(B229:B231)</f>
        <v>2.0105813934994963E-5</v>
      </c>
      <c r="C233" s="123" t="s">
        <v>170</v>
      </c>
      <c r="D233" s="123">
        <f>VAR(D229:D231)</f>
        <v>1.3782680643180816E-5</v>
      </c>
      <c r="E233" s="123">
        <f>VAR(G224:G226)</f>
        <v>4.8102802986372817E-3</v>
      </c>
      <c r="F233" s="124">
        <f>STDEV(G224:G226)/G228</f>
        <v>0.14770908161363755</v>
      </c>
      <c r="G233" s="124" t="s">
        <v>449</v>
      </c>
      <c r="L233" s="98"/>
      <c r="S233" s="130" t="s">
        <v>170</v>
      </c>
      <c r="T233" s="123">
        <f>VAR(T229:T231)</f>
        <v>1.1389712055509063E-7</v>
      </c>
      <c r="U233" s="123" t="s">
        <v>170</v>
      </c>
      <c r="V233" s="123">
        <f>VAR(V229:V231)</f>
        <v>8.5677171762250659E-8</v>
      </c>
      <c r="W233" s="123">
        <f>VAR(Y224:Y226)</f>
        <v>1.4878583861979051E-3</v>
      </c>
      <c r="X233" s="124">
        <f>STDEV(Y224:Y226)/Y228</f>
        <v>0.30374243201437862</v>
      </c>
      <c r="Y233" s="124" t="s">
        <v>449</v>
      </c>
      <c r="AD233" s="98"/>
      <c r="AJ233" s="130" t="s">
        <v>170</v>
      </c>
      <c r="AK233" s="123">
        <f>VAR(AK229:AK231)</f>
        <v>1.2284218071870182E-8</v>
      </c>
      <c r="AL233" s="123" t="s">
        <v>170</v>
      </c>
      <c r="AM233" s="123">
        <f>VAR(AM229:AM231)</f>
        <v>5.5678712176131461E-9</v>
      </c>
      <c r="AN233" s="123">
        <f>VAR(AP224:AP226)</f>
        <v>0.33498082005184004</v>
      </c>
      <c r="AO233" s="124">
        <f>STDEV(AP224:AP226)/AP228</f>
        <v>0.4005626791507656</v>
      </c>
      <c r="AP233" s="124" t="s">
        <v>449</v>
      </c>
      <c r="AU233" s="98"/>
      <c r="BG233" s="130" t="s">
        <v>170</v>
      </c>
      <c r="BH233" s="123">
        <f>VAR(BH229:BH231)</f>
        <v>6.937380670892856E-9</v>
      </c>
      <c r="BI233" s="123" t="s">
        <v>170</v>
      </c>
      <c r="BJ233" s="123">
        <f>VAR(BJ229:BJ231)</f>
        <v>2.7168620702035741E-9</v>
      </c>
      <c r="BK233" s="123">
        <f>VAR(BM224:BM226)</f>
        <v>1.5869745466247901E-4</v>
      </c>
      <c r="BL233" s="124">
        <f>STDEV(BM224:BM226)/BM228</f>
        <v>2.5858582361888975E-2</v>
      </c>
      <c r="BM233" s="124" t="s">
        <v>449</v>
      </c>
      <c r="BN233" s="123"/>
      <c r="BO233" s="123"/>
      <c r="BP233" s="123"/>
      <c r="BQ233" s="123"/>
      <c r="BR233" s="123"/>
      <c r="BS233" s="98"/>
      <c r="FA233" s="130"/>
      <c r="FB233" s="123"/>
      <c r="FC233" s="123"/>
      <c r="FD233" s="123" t="s">
        <v>444</v>
      </c>
      <c r="FE233" s="123"/>
      <c r="FF233" s="123"/>
      <c r="FG233" s="123"/>
      <c r="FH233" s="123"/>
      <c r="FI233" s="123"/>
      <c r="FJ233" s="123"/>
      <c r="FK233" s="123"/>
      <c r="FL233" s="98"/>
    </row>
    <row r="234" spans="1:168">
      <c r="A234" s="130"/>
      <c r="G234" s="124" t="s">
        <v>438</v>
      </c>
      <c r="L234" s="98"/>
      <c r="Y234" s="124" t="s">
        <v>438</v>
      </c>
      <c r="AD234" s="98"/>
      <c r="AP234" s="124" t="s">
        <v>438</v>
      </c>
      <c r="AU234" s="98"/>
      <c r="BG234" s="130"/>
      <c r="BH234" s="123"/>
      <c r="BI234" s="123"/>
      <c r="BJ234" s="123"/>
      <c r="BK234" s="123"/>
      <c r="BL234" s="123"/>
      <c r="BM234" s="124" t="s">
        <v>438</v>
      </c>
      <c r="BN234" s="123"/>
      <c r="BO234" s="123"/>
      <c r="BP234" s="123"/>
      <c r="BQ234" s="123"/>
      <c r="BR234" s="123"/>
      <c r="BS234" s="98"/>
      <c r="FA234" s="130"/>
      <c r="FB234" s="123">
        <f>FB227</f>
        <v>1.0016045802862006</v>
      </c>
      <c r="FC234" s="123"/>
      <c r="FD234" s="123">
        <f>ABS(FC222-FB223)/FC222</f>
        <v>1.8160722393179639E-4</v>
      </c>
      <c r="FE234" s="123" t="s">
        <v>446</v>
      </c>
      <c r="FF234" s="123"/>
      <c r="FG234" s="123"/>
      <c r="FH234" s="123"/>
      <c r="FI234" s="123"/>
      <c r="FJ234" s="123"/>
      <c r="FK234" s="123"/>
      <c r="FL234" s="98"/>
    </row>
    <row r="235" spans="1:168">
      <c r="A235" s="130"/>
      <c r="D235" s="123" t="s">
        <v>444</v>
      </c>
      <c r="L235" s="98"/>
      <c r="V235" s="123" t="s">
        <v>444</v>
      </c>
      <c r="AD235" s="98"/>
      <c r="AM235" s="123" t="s">
        <v>444</v>
      </c>
      <c r="AU235" s="98"/>
      <c r="BG235" s="130"/>
      <c r="BH235" s="123"/>
      <c r="BI235" s="123"/>
      <c r="BJ235" s="123" t="s">
        <v>444</v>
      </c>
      <c r="BK235" s="123"/>
      <c r="BL235" s="123"/>
      <c r="BM235" s="123"/>
      <c r="BN235" s="123"/>
      <c r="BO235" s="123"/>
      <c r="BP235" s="123"/>
      <c r="BQ235" s="123"/>
      <c r="BR235" s="123"/>
      <c r="BS235" s="98"/>
      <c r="FA235" s="130"/>
      <c r="FB235" s="123">
        <f t="shared" ref="FB235:FB236" si="671">FB228</f>
        <v>1.0016323766494333</v>
      </c>
      <c r="FC235" s="123"/>
      <c r="FD235" s="123">
        <f>ABS((FC214-FB215)/FC214)</f>
        <v>4.4727309317770178E-3</v>
      </c>
      <c r="FE235" s="123" t="s">
        <v>445</v>
      </c>
      <c r="FF235" s="123"/>
      <c r="FG235" s="123"/>
      <c r="FH235" s="123"/>
      <c r="FI235" s="123"/>
      <c r="FJ235" s="123"/>
      <c r="FK235" s="123"/>
      <c r="FL235" s="98"/>
    </row>
    <row r="236" spans="1:168">
      <c r="A236" s="130"/>
      <c r="B236" s="123">
        <f>B229</f>
        <v>0.9896010697141977</v>
      </c>
      <c r="D236" s="123">
        <f>ABS(C224-B225)/C224</f>
        <v>1.744725680560499E-2</v>
      </c>
      <c r="E236" s="123" t="s">
        <v>446</v>
      </c>
      <c r="L236" s="98"/>
      <c r="T236" s="123">
        <f>T229</f>
        <v>0.99834229510195849</v>
      </c>
      <c r="V236" s="123">
        <f>ABS(U224-T225)/U224</f>
        <v>0.12738193949727711</v>
      </c>
      <c r="W236" s="123" t="s">
        <v>446</v>
      </c>
      <c r="AD236" s="98"/>
      <c r="AK236" s="123">
        <f>AK229</f>
        <v>1.0113140107368364</v>
      </c>
      <c r="AM236" s="123">
        <f>ABS(AL224-AK225)/AL224</f>
        <v>3.145434484509009E-2</v>
      </c>
      <c r="AN236" s="123" t="s">
        <v>446</v>
      </c>
      <c r="AU236" s="98"/>
      <c r="BG236" s="130"/>
      <c r="BH236" s="123">
        <f>BH229</f>
        <v>1.0016469968189432</v>
      </c>
      <c r="BI236" s="123"/>
      <c r="BJ236" s="123">
        <f>ABS(BI224-BH225)/BI224</f>
        <v>4.525707694168218E-3</v>
      </c>
      <c r="BK236" s="123" t="s">
        <v>446</v>
      </c>
      <c r="BL236" s="123"/>
      <c r="BM236" s="123"/>
      <c r="BN236" s="123"/>
      <c r="BO236" s="123"/>
      <c r="BP236" s="123"/>
      <c r="BQ236" s="123"/>
      <c r="BR236" s="123"/>
      <c r="BS236" s="98"/>
      <c r="FA236" s="130"/>
      <c r="FB236" s="123">
        <f t="shared" si="671"/>
        <v>1.001633129899516</v>
      </c>
      <c r="FC236" s="123"/>
      <c r="FD236" s="123"/>
      <c r="FE236" s="123"/>
      <c r="FF236" s="123"/>
      <c r="FG236" s="123"/>
      <c r="FH236" s="123"/>
      <c r="FI236" s="123"/>
      <c r="FJ236" s="123"/>
      <c r="FK236" s="123"/>
      <c r="FL236" s="98"/>
    </row>
    <row r="237" spans="1:168">
      <c r="A237" s="130"/>
      <c r="B237" s="123">
        <f t="shared" ref="B237:B238" si="672">B230</f>
        <v>0.98511684697085178</v>
      </c>
      <c r="D237" s="123">
        <f>ABS((C216-B217)/C216)</f>
        <v>4.2824774309880589E-2</v>
      </c>
      <c r="E237" s="123" t="s">
        <v>445</v>
      </c>
      <c r="L237" s="98"/>
      <c r="T237" s="123">
        <f t="shared" ref="T237:T238" si="673">T230</f>
        <v>0.99848986867373923</v>
      </c>
      <c r="V237" s="123">
        <f>ABS((U216-T217)/U216)</f>
        <v>0.15023060846529374</v>
      </c>
      <c r="W237" s="123" t="s">
        <v>445</v>
      </c>
      <c r="AD237" s="98"/>
      <c r="AK237" s="123">
        <f t="shared" ref="AK237:AK238" si="674">AK230</f>
        <v>1.0114241666925914</v>
      </c>
      <c r="AM237" s="123">
        <f>ABS((AL216-AK217)/AL216)</f>
        <v>5.0945418218145411E-2</v>
      </c>
      <c r="AN237" s="123" t="s">
        <v>445</v>
      </c>
      <c r="AU237" s="98"/>
      <c r="BG237" s="130"/>
      <c r="BH237" s="123">
        <f t="shared" ref="BH237:BH238" si="675">BH230</f>
        <v>1.0015489280397714</v>
      </c>
      <c r="BI237" s="123"/>
      <c r="BJ237" s="123">
        <f>ABS((BI216-BH217)/BI216)</f>
        <v>4.4602201928025404E-3</v>
      </c>
      <c r="BK237" s="123" t="s">
        <v>445</v>
      </c>
      <c r="BL237" s="123"/>
      <c r="BM237" s="123"/>
      <c r="BN237" s="123"/>
      <c r="BO237" s="123"/>
      <c r="BP237" s="123"/>
      <c r="BQ237" s="123"/>
      <c r="BR237" s="123"/>
      <c r="BS237" s="98"/>
      <c r="FA237" s="130"/>
      <c r="FB237" s="123">
        <f>FD227</f>
        <v>0.99733346749849061</v>
      </c>
      <c r="FC237" s="123"/>
      <c r="FD237" s="123"/>
      <c r="FE237" s="123"/>
      <c r="FF237" s="123"/>
      <c r="FG237" s="123"/>
      <c r="FH237" s="123"/>
      <c r="FI237" s="123"/>
      <c r="FJ237" s="123"/>
      <c r="FK237" s="123"/>
      <c r="FL237" s="98"/>
    </row>
    <row r="238" spans="1:168">
      <c r="A238" s="130"/>
      <c r="B238" s="123">
        <f t="shared" si="672"/>
        <v>0.98063316830744118</v>
      </c>
      <c r="L238" s="98"/>
      <c r="T238" s="123">
        <f t="shared" si="673"/>
        <v>0.99784568036931198</v>
      </c>
      <c r="AD238" s="98"/>
      <c r="AK238" s="123">
        <f t="shared" si="674"/>
        <v>1.0115356777397857</v>
      </c>
      <c r="AU238" s="98"/>
      <c r="BG238" s="130"/>
      <c r="BH238" s="123">
        <f t="shared" si="675"/>
        <v>1.0017145772994489</v>
      </c>
      <c r="BI238" s="123"/>
      <c r="BJ238" s="123"/>
      <c r="BK238" s="123"/>
      <c r="BL238" s="123"/>
      <c r="BM238" s="123"/>
      <c r="BN238" s="123"/>
      <c r="BO238" s="123"/>
      <c r="BP238" s="123"/>
      <c r="BQ238" s="123"/>
      <c r="BR238" s="123"/>
      <c r="BS238" s="98"/>
      <c r="FA238" s="130"/>
      <c r="FB238" s="123">
        <f t="shared" ref="FB238:FB239" si="676">FD228</f>
        <v>0.99733543795118351</v>
      </c>
      <c r="FC238" s="123"/>
      <c r="FD238" s="123"/>
      <c r="FE238" s="123"/>
      <c r="FF238" s="123"/>
      <c r="FG238" s="123"/>
      <c r="FH238" s="123"/>
      <c r="FI238" s="123"/>
      <c r="FJ238" s="123"/>
      <c r="FK238" s="123"/>
      <c r="FL238" s="98"/>
    </row>
    <row r="239" spans="1:168">
      <c r="A239" s="130"/>
      <c r="B239" s="123">
        <f>D229</f>
        <v>1.0096879683341835</v>
      </c>
      <c r="L239" s="98"/>
      <c r="T239" s="123">
        <f>V229</f>
        <v>1.0187262798472392</v>
      </c>
      <c r="AD239" s="98"/>
      <c r="AK239" s="123">
        <f>AM229</f>
        <v>1.0305367359912814</v>
      </c>
      <c r="AU239" s="98"/>
      <c r="BG239" s="130"/>
      <c r="BH239" s="123">
        <f>BJ229</f>
        <v>1.0014836346019922</v>
      </c>
      <c r="BI239" s="123"/>
      <c r="BJ239" s="123"/>
      <c r="BK239" s="123"/>
      <c r="BL239" s="123"/>
      <c r="BM239" s="123"/>
      <c r="BN239" s="123"/>
      <c r="BO239" s="123"/>
      <c r="BP239" s="123"/>
      <c r="BQ239" s="123"/>
      <c r="BR239" s="123"/>
      <c r="BS239" s="98"/>
      <c r="FA239" s="130"/>
      <c r="FB239" s="123">
        <f t="shared" si="676"/>
        <v>0.99733380917330239</v>
      </c>
      <c r="FC239" s="123"/>
      <c r="FD239" s="123"/>
      <c r="FE239" s="123"/>
      <c r="FF239" s="123"/>
      <c r="FG239" s="123"/>
      <c r="FH239" s="123"/>
      <c r="FI239" s="123"/>
      <c r="FJ239" s="123"/>
      <c r="FK239" s="123"/>
      <c r="FL239" s="98"/>
    </row>
    <row r="240" spans="1:168" ht="15.75" thickBot="1">
      <c r="A240" s="130"/>
      <c r="B240" s="123">
        <f t="shared" ref="B240:B241" si="677">D230</f>
        <v>1.0082688728198621</v>
      </c>
      <c r="L240" s="98"/>
      <c r="T240" s="123">
        <f t="shared" ref="T240:T241" si="678">V230</f>
        <v>1.0182189650808191</v>
      </c>
      <c r="AD240" s="98"/>
      <c r="AK240" s="123">
        <f t="shared" ref="AK240:AK241" si="679">AM230</f>
        <v>1.0305751031303081</v>
      </c>
      <c r="AU240" s="98"/>
      <c r="BG240" s="130"/>
      <c r="BH240" s="123">
        <f t="shared" ref="BH240:BH241" si="680">BJ230</f>
        <v>1.0013910610303698</v>
      </c>
      <c r="BI240" s="123"/>
      <c r="BJ240" s="123"/>
      <c r="BK240" s="123"/>
      <c r="BL240" s="123"/>
      <c r="BM240" s="123"/>
      <c r="BN240" s="123"/>
      <c r="BO240" s="123"/>
      <c r="BP240" s="123"/>
      <c r="BQ240" s="123"/>
      <c r="BR240" s="123"/>
      <c r="BS240" s="98"/>
      <c r="FA240" s="131" t="s">
        <v>170</v>
      </c>
      <c r="FB240" s="126">
        <f>VAR(FB234:FB239)</f>
        <v>5.5190819174175861E-6</v>
      </c>
      <c r="FC240" s="126"/>
      <c r="FD240" s="126"/>
      <c r="FE240" s="126"/>
      <c r="FF240" s="126"/>
      <c r="FG240" s="126"/>
      <c r="FH240" s="126"/>
      <c r="FI240" s="126"/>
      <c r="FJ240" s="126"/>
      <c r="FK240" s="126"/>
      <c r="FL240" s="127"/>
    </row>
    <row r="241" spans="1:168" ht="15.75" thickTop="1">
      <c r="A241" s="130"/>
      <c r="B241" s="123">
        <f t="shared" si="677"/>
        <v>1.0152901293686629</v>
      </c>
      <c r="L241" s="98"/>
      <c r="T241" s="123">
        <f t="shared" si="678"/>
        <v>1.0187256151736392</v>
      </c>
      <c r="AD241" s="98"/>
      <c r="AK241" s="123">
        <f t="shared" si="679"/>
        <v>1.0304310212596253</v>
      </c>
      <c r="AU241" s="98"/>
      <c r="BG241" s="130"/>
      <c r="BH241" s="123">
        <f t="shared" si="680"/>
        <v>1.0013958365335169</v>
      </c>
      <c r="BI241" s="123"/>
      <c r="BJ241" s="123"/>
      <c r="BK241" s="123"/>
      <c r="BL241" s="123"/>
      <c r="BM241" s="123"/>
      <c r="BN241" s="123"/>
      <c r="BO241" s="123"/>
      <c r="BP241" s="123"/>
      <c r="BQ241" s="123"/>
      <c r="BR241" s="123"/>
      <c r="BS241" s="98"/>
      <c r="FA241" s="128"/>
      <c r="FB241" s="121"/>
      <c r="FC241" s="121"/>
      <c r="FD241" s="121"/>
      <c r="FE241" s="121"/>
      <c r="FF241" s="133" t="s">
        <v>239</v>
      </c>
      <c r="FG241" s="121"/>
      <c r="FH241" s="121"/>
      <c r="FI241" s="129" t="s">
        <v>465</v>
      </c>
      <c r="FJ241" s="121"/>
      <c r="FK241" s="121"/>
      <c r="FL241" s="122"/>
    </row>
    <row r="242" spans="1:168" ht="15.75" thickBot="1">
      <c r="A242" s="131" t="s">
        <v>170</v>
      </c>
      <c r="B242" s="126">
        <f>VAR(B236:B241)</f>
        <v>2.1581436391583048E-4</v>
      </c>
      <c r="C242" s="126"/>
      <c r="D242" s="126"/>
      <c r="E242" s="126"/>
      <c r="F242" s="126"/>
      <c r="G242" s="126"/>
      <c r="H242" s="126"/>
      <c r="I242" s="126"/>
      <c r="J242" s="126"/>
      <c r="K242" s="126"/>
      <c r="L242" s="127"/>
      <c r="S242" s="131" t="s">
        <v>170</v>
      </c>
      <c r="T242" s="126">
        <f>VAR(T236:T241)</f>
        <v>1.2408476290001947E-4</v>
      </c>
      <c r="U242" s="126"/>
      <c r="V242" s="126"/>
      <c r="W242" s="126"/>
      <c r="X242" s="126"/>
      <c r="Y242" s="126"/>
      <c r="Z242" s="126"/>
      <c r="AA242" s="126"/>
      <c r="AB242" s="126"/>
      <c r="AC242" s="126"/>
      <c r="AD242" s="127"/>
      <c r="AJ242" s="131" t="s">
        <v>170</v>
      </c>
      <c r="AK242" s="126">
        <f>VAR(AK236:AK241)</f>
        <v>1.0933177276812349E-4</v>
      </c>
      <c r="AL242" s="126"/>
      <c r="AM242" s="126"/>
      <c r="AN242" s="126"/>
      <c r="AO242" s="126"/>
      <c r="AP242" s="126"/>
      <c r="AQ242" s="126"/>
      <c r="AR242" s="126"/>
      <c r="AS242" s="126"/>
      <c r="AT242" s="126"/>
      <c r="AU242" s="127"/>
      <c r="BG242" s="130" t="s">
        <v>170</v>
      </c>
      <c r="BH242" s="123">
        <f>VAR(BH236:BH241)</f>
        <v>1.7513750130594819E-8</v>
      </c>
      <c r="BI242" s="123"/>
      <c r="BJ242" s="123"/>
      <c r="BK242" s="123"/>
      <c r="BL242" s="123"/>
      <c r="BM242" s="123"/>
      <c r="BN242" s="123"/>
      <c r="BO242" s="123"/>
      <c r="BP242" s="123"/>
      <c r="BQ242" s="123"/>
      <c r="BR242" s="123"/>
      <c r="BS242" s="98"/>
      <c r="FA242" s="130" t="s">
        <v>167</v>
      </c>
      <c r="FB242" s="123"/>
      <c r="FC242" s="123"/>
      <c r="FD242" s="123"/>
      <c r="FE242" s="123"/>
      <c r="FF242" s="123"/>
      <c r="FG242" s="123"/>
      <c r="FH242" s="123" t="s">
        <v>168</v>
      </c>
      <c r="FI242" s="123"/>
      <c r="FJ242" s="123"/>
      <c r="FK242" s="123"/>
      <c r="FL242" s="98"/>
    </row>
    <row r="243" spans="1:168" ht="16.5" thickTop="1" thickBot="1">
      <c r="A243" s="128"/>
      <c r="B243" s="121"/>
      <c r="C243" s="121"/>
      <c r="D243" s="121"/>
      <c r="E243" s="121"/>
      <c r="F243" s="133" t="s">
        <v>239</v>
      </c>
      <c r="G243" s="121"/>
      <c r="H243" s="121"/>
      <c r="I243" s="124" t="s">
        <v>186</v>
      </c>
      <c r="J243" s="121"/>
      <c r="K243" s="121"/>
      <c r="L243" s="122"/>
      <c r="S243" s="128"/>
      <c r="T243" s="121"/>
      <c r="U243" s="121"/>
      <c r="V243" s="121"/>
      <c r="W243" s="121"/>
      <c r="X243" s="133" t="s">
        <v>239</v>
      </c>
      <c r="Y243" s="121"/>
      <c r="Z243" s="121"/>
      <c r="AA243" s="129" t="s">
        <v>222</v>
      </c>
      <c r="AB243" s="121"/>
      <c r="AC243" s="121"/>
      <c r="AD243" s="122"/>
      <c r="BG243" s="131"/>
      <c r="BH243" s="126"/>
      <c r="BI243" s="126"/>
      <c r="BJ243" s="126"/>
      <c r="BK243" s="126"/>
      <c r="BL243" s="126"/>
      <c r="BM243" s="126"/>
      <c r="BN243" s="126"/>
      <c r="BO243" s="126"/>
      <c r="BP243" s="126"/>
      <c r="BQ243" s="126"/>
      <c r="BR243" s="126"/>
      <c r="BS243" s="127"/>
      <c r="FA243" s="1"/>
      <c r="FB243" s="2" t="s">
        <v>0</v>
      </c>
      <c r="FC243" s="2" t="s">
        <v>1</v>
      </c>
      <c r="FD243" s="2" t="s">
        <v>2</v>
      </c>
      <c r="FE243" s="3" t="s">
        <v>6</v>
      </c>
      <c r="FF243" s="103" t="s">
        <v>70</v>
      </c>
      <c r="FG243" s="103" t="s">
        <v>172</v>
      </c>
      <c r="FH243" s="123" t="s">
        <v>3</v>
      </c>
      <c r="FI243" s="123">
        <v>1000</v>
      </c>
      <c r="FJ243" s="123"/>
      <c r="FK243" s="123" t="s">
        <v>19</v>
      </c>
      <c r="FL243" s="123">
        <v>9.2153399999999996E-2</v>
      </c>
    </row>
    <row r="244" spans="1:168" ht="16.5" thickTop="1" thickBot="1">
      <c r="A244" s="130" t="s">
        <v>167</v>
      </c>
      <c r="H244" s="123" t="s">
        <v>168</v>
      </c>
      <c r="L244" s="98"/>
      <c r="S244" s="130" t="s">
        <v>167</v>
      </c>
      <c r="Z244" s="123" t="s">
        <v>168</v>
      </c>
      <c r="AD244" s="98"/>
      <c r="BG244" s="128"/>
      <c r="BH244" s="121"/>
      <c r="BI244" s="121"/>
      <c r="BJ244" s="121"/>
      <c r="BK244" s="121"/>
      <c r="BL244" s="133" t="s">
        <v>239</v>
      </c>
      <c r="BM244" s="121"/>
      <c r="BN244" s="121"/>
      <c r="BO244" s="124" t="s">
        <v>196</v>
      </c>
      <c r="BP244" s="121"/>
      <c r="BQ244" s="121"/>
      <c r="BR244" s="121"/>
      <c r="BS244" s="122"/>
      <c r="FA244" s="4" t="s">
        <v>3</v>
      </c>
      <c r="FB244" s="100">
        <f>2.62494*10^6</f>
        <v>2624940</v>
      </c>
      <c r="FC244" s="5">
        <v>577556</v>
      </c>
      <c r="FD244" s="5">
        <v>295060</v>
      </c>
      <c r="FE244" s="104">
        <f>SUM(FB244:FD244)</f>
        <v>3497556</v>
      </c>
      <c r="FF244" s="123">
        <f>FD244/FC244</f>
        <v>0.51087686735139104</v>
      </c>
      <c r="FG244" s="123">
        <f>FB244/FC244</f>
        <v>4.5449099308119036</v>
      </c>
      <c r="FH244" s="123" t="s">
        <v>4</v>
      </c>
      <c r="FI244" s="123">
        <v>1600</v>
      </c>
      <c r="FJ244" s="123"/>
      <c r="FK244" s="123"/>
      <c r="FL244" s="98"/>
    </row>
    <row r="245" spans="1:168" ht="16.5" thickTop="1" thickBot="1">
      <c r="A245" s="1"/>
      <c r="B245" s="2" t="s">
        <v>0</v>
      </c>
      <c r="C245" s="2" t="s">
        <v>1</v>
      </c>
      <c r="D245" s="2" t="s">
        <v>2</v>
      </c>
      <c r="E245" s="3" t="s">
        <v>6</v>
      </c>
      <c r="F245" s="103" t="s">
        <v>70</v>
      </c>
      <c r="G245" s="103" t="s">
        <v>172</v>
      </c>
      <c r="H245" s="123" t="s">
        <v>3</v>
      </c>
      <c r="I245" s="123">
        <v>6</v>
      </c>
      <c r="K245" s="123" t="s">
        <v>19</v>
      </c>
      <c r="L245" s="98">
        <v>0.49345699999999998</v>
      </c>
      <c r="S245" s="1"/>
      <c r="T245" s="2" t="s">
        <v>0</v>
      </c>
      <c r="U245" s="2" t="s">
        <v>1</v>
      </c>
      <c r="V245" s="2" t="s">
        <v>2</v>
      </c>
      <c r="W245" s="3" t="s">
        <v>6</v>
      </c>
      <c r="X245" s="103" t="s">
        <v>70</v>
      </c>
      <c r="Y245" s="103" t="s">
        <v>172</v>
      </c>
      <c r="Z245" s="123" t="s">
        <v>3</v>
      </c>
      <c r="AA245" s="123">
        <v>12</v>
      </c>
      <c r="AC245" s="123" t="s">
        <v>19</v>
      </c>
      <c r="AD245" s="98">
        <v>0.50286799999999998</v>
      </c>
      <c r="BG245" s="130" t="s">
        <v>167</v>
      </c>
      <c r="BH245" s="123"/>
      <c r="BI245" s="123"/>
      <c r="BJ245" s="123"/>
      <c r="BK245" s="123"/>
      <c r="BL245" s="123"/>
      <c r="BM245" s="123"/>
      <c r="BN245" s="123" t="s">
        <v>168</v>
      </c>
      <c r="BO245" s="123"/>
      <c r="BP245" s="123"/>
      <c r="BQ245" s="123"/>
      <c r="BR245" s="123"/>
      <c r="BS245" s="98"/>
      <c r="FA245" s="4" t="s">
        <v>4</v>
      </c>
      <c r="FB245" s="5">
        <v>576829</v>
      </c>
      <c r="FC245" s="5">
        <v>127070</v>
      </c>
      <c r="FD245" s="5">
        <v>64917</v>
      </c>
      <c r="FE245" s="106">
        <f t="shared" ref="FE245:FE247" si="681">SUM(FB245:FD245)</f>
        <v>768816</v>
      </c>
      <c r="FF245" s="123">
        <f t="shared" ref="FF245:FF247" si="682">FD245/FC245</f>
        <v>0.51087589517588727</v>
      </c>
      <c r="FG245" s="123">
        <f t="shared" ref="FG245:FG247" si="683">FB245/FC245</f>
        <v>4.5394585661446447</v>
      </c>
      <c r="FH245" s="123" t="s">
        <v>5</v>
      </c>
      <c r="FI245" s="123">
        <v>800</v>
      </c>
      <c r="FJ245" s="123"/>
      <c r="FK245" s="123"/>
      <c r="FL245" s="98"/>
    </row>
    <row r="246" spans="1:168" ht="15.75" thickTop="1">
      <c r="A246" s="4" t="s">
        <v>3</v>
      </c>
      <c r="B246" s="100">
        <v>85.935199999999995</v>
      </c>
      <c r="C246" s="5">
        <v>161.953</v>
      </c>
      <c r="D246" s="5">
        <v>122.634</v>
      </c>
      <c r="E246" s="104">
        <f>SUM(B246:D246)</f>
        <v>370.5222</v>
      </c>
      <c r="F246" s="123">
        <f>D246/C246</f>
        <v>0.75721968719319799</v>
      </c>
      <c r="G246" s="123">
        <f>B246/C246</f>
        <v>0.53061814230054394</v>
      </c>
      <c r="H246" s="123" t="s">
        <v>4</v>
      </c>
      <c r="I246" s="123">
        <v>12</v>
      </c>
      <c r="L246" s="98"/>
      <c r="S246" s="4" t="s">
        <v>3</v>
      </c>
      <c r="T246" s="100">
        <v>17.997199999999999</v>
      </c>
      <c r="U246" s="5">
        <v>168.99600000000001</v>
      </c>
      <c r="V246" s="5">
        <v>100.376</v>
      </c>
      <c r="W246" s="104">
        <f>SUM(T246:V246)</f>
        <v>287.36919999999998</v>
      </c>
      <c r="X246" s="123">
        <f>V246/U246</f>
        <v>0.59395488650618944</v>
      </c>
      <c r="Y246" s="123">
        <f>T246/U246</f>
        <v>0.10649482827995928</v>
      </c>
      <c r="Z246" s="123" t="s">
        <v>4</v>
      </c>
      <c r="AA246" s="123">
        <v>20</v>
      </c>
      <c r="AD246" s="98"/>
      <c r="BG246" s="1"/>
      <c r="BH246" s="2" t="s">
        <v>0</v>
      </c>
      <c r="BI246" s="2" t="s">
        <v>1</v>
      </c>
      <c r="BJ246" s="2" t="s">
        <v>2</v>
      </c>
      <c r="BK246" s="3" t="s">
        <v>6</v>
      </c>
      <c r="BL246" s="103" t="s">
        <v>70</v>
      </c>
      <c r="BM246" s="103" t="s">
        <v>172</v>
      </c>
      <c r="BN246" s="123" t="s">
        <v>3</v>
      </c>
      <c r="BO246" s="123">
        <v>30</v>
      </c>
      <c r="BP246" s="123"/>
      <c r="BQ246" s="123" t="s">
        <v>19</v>
      </c>
      <c r="BR246" s="123">
        <v>0.11444799999999999</v>
      </c>
      <c r="BS246" s="98"/>
      <c r="FA246" s="4" t="s">
        <v>5</v>
      </c>
      <c r="FB246" s="5">
        <v>295787</v>
      </c>
      <c r="FC246" s="5">
        <v>64189.9</v>
      </c>
      <c r="FD246" s="5">
        <v>32793.1</v>
      </c>
      <c r="FE246" s="108">
        <f t="shared" si="681"/>
        <v>392770</v>
      </c>
      <c r="FF246" s="123">
        <f t="shared" si="682"/>
        <v>0.51087632166431163</v>
      </c>
      <c r="FG246" s="123">
        <f t="shared" si="683"/>
        <v>4.6079990777365287</v>
      </c>
      <c r="FH246" s="85" t="s">
        <v>49</v>
      </c>
      <c r="FI246" s="124">
        <f>FI243+FI244+FI245</f>
        <v>3400</v>
      </c>
      <c r="FJ246" s="123" t="s">
        <v>457</v>
      </c>
      <c r="FK246" s="123"/>
      <c r="FL246" s="98"/>
    </row>
    <row r="247" spans="1:168" ht="15.75" thickBot="1">
      <c r="A247" s="4" t="s">
        <v>4</v>
      </c>
      <c r="B247" s="5">
        <v>170.81399999999999</v>
      </c>
      <c r="C247" s="5">
        <v>314.12400000000002</v>
      </c>
      <c r="D247" s="5">
        <v>237.86099999999999</v>
      </c>
      <c r="E247" s="106">
        <f t="shared" ref="E247:E249" si="684">SUM(B247:D247)</f>
        <v>722.79899999999998</v>
      </c>
      <c r="F247" s="123">
        <f t="shared" ref="F247:F249" si="685">D247/C247</f>
        <v>0.75722007869503749</v>
      </c>
      <c r="G247" s="123">
        <f t="shared" ref="G247:G249" si="686">B247/C247</f>
        <v>0.54377888986514877</v>
      </c>
      <c r="H247" s="123" t="s">
        <v>5</v>
      </c>
      <c r="I247" s="123">
        <v>4</v>
      </c>
      <c r="L247" s="98"/>
      <c r="S247" s="4" t="s">
        <v>4</v>
      </c>
      <c r="T247" s="5">
        <v>195.523</v>
      </c>
      <c r="U247" s="5">
        <v>999.61699999999996</v>
      </c>
      <c r="V247" s="5">
        <v>593.72699999999998</v>
      </c>
      <c r="W247" s="106">
        <f t="shared" ref="W247:W249" si="687">SUM(T247:V247)</f>
        <v>1788.8669999999997</v>
      </c>
      <c r="X247" s="123">
        <f t="shared" ref="X247:X249" si="688">V247/U247</f>
        <v>0.59395448456758937</v>
      </c>
      <c r="Y247" s="123">
        <f t="shared" ref="Y247:Y249" si="689">T247/U247</f>
        <v>0.19559791400106241</v>
      </c>
      <c r="Z247" s="123" t="s">
        <v>5</v>
      </c>
      <c r="AA247" s="123">
        <v>8</v>
      </c>
      <c r="AD247" s="98"/>
      <c r="BG247" s="4" t="s">
        <v>3</v>
      </c>
      <c r="BH247" s="100">
        <v>2196.59</v>
      </c>
      <c r="BI247" s="5">
        <v>4379.75</v>
      </c>
      <c r="BJ247" s="5">
        <v>751.31299999999999</v>
      </c>
      <c r="BK247" s="104">
        <f>SUM(BH247:BJ247)</f>
        <v>7327.6530000000002</v>
      </c>
      <c r="BL247" s="123">
        <f>BJ247/BI247</f>
        <v>0.17154243963696558</v>
      </c>
      <c r="BM247" s="123">
        <f>BH247/BI247</f>
        <v>0.50153319253382045</v>
      </c>
      <c r="BN247" s="123" t="s">
        <v>4</v>
      </c>
      <c r="BO247" s="123">
        <v>60</v>
      </c>
      <c r="BP247" s="123"/>
      <c r="BQ247" s="123"/>
      <c r="BR247" s="123"/>
      <c r="BS247" s="98"/>
      <c r="FA247" s="7"/>
      <c r="FB247" s="105">
        <f>SUM(FB244:FB246)</f>
        <v>3497556</v>
      </c>
      <c r="FC247" s="107">
        <f>SUM(FC244:FC246)</f>
        <v>768815.9</v>
      </c>
      <c r="FD247" s="109">
        <f>SUM(FD244:FD246)</f>
        <v>392770.1</v>
      </c>
      <c r="FE247" s="101">
        <f t="shared" si="681"/>
        <v>4659142</v>
      </c>
      <c r="FF247" s="123">
        <f t="shared" si="682"/>
        <v>0.51087666110963625</v>
      </c>
      <c r="FG247" s="123">
        <f t="shared" si="683"/>
        <v>4.5492763612198965</v>
      </c>
      <c r="FH247" s="123"/>
      <c r="FI247" s="123"/>
      <c r="FJ247" s="123"/>
      <c r="FK247" s="123"/>
      <c r="FL247" s="98"/>
    </row>
    <row r="248" spans="1:168" ht="15.75" thickTop="1">
      <c r="A248" s="4" t="s">
        <v>5</v>
      </c>
      <c r="B248" s="5">
        <v>113.774</v>
      </c>
      <c r="C248" s="5">
        <v>246.72200000000001</v>
      </c>
      <c r="D248" s="5">
        <v>186.82300000000001</v>
      </c>
      <c r="E248" s="108">
        <f t="shared" si="684"/>
        <v>547.31899999999996</v>
      </c>
      <c r="F248" s="123">
        <f t="shared" si="685"/>
        <v>0.7572206775236906</v>
      </c>
      <c r="G248" s="123">
        <f t="shared" si="686"/>
        <v>0.46114250046611166</v>
      </c>
      <c r="L248" s="98"/>
      <c r="S248" s="4" t="s">
        <v>5</v>
      </c>
      <c r="T248" s="5">
        <v>73.848799999999997</v>
      </c>
      <c r="U248" s="5">
        <v>620.25400000000002</v>
      </c>
      <c r="V248" s="5">
        <v>368.40300000000002</v>
      </c>
      <c r="W248" s="108">
        <f t="shared" si="687"/>
        <v>1062.5057999999999</v>
      </c>
      <c r="X248" s="123">
        <f t="shared" si="688"/>
        <v>0.59395505712175978</v>
      </c>
      <c r="Y248" s="123">
        <f t="shared" si="689"/>
        <v>0.11906219065092687</v>
      </c>
      <c r="AD248" s="98"/>
      <c r="BG248" s="4" t="s">
        <v>4</v>
      </c>
      <c r="BH248" s="5">
        <v>4370.79</v>
      </c>
      <c r="BI248" s="5">
        <v>8786.84</v>
      </c>
      <c r="BJ248" s="5">
        <v>1507.32</v>
      </c>
      <c r="BK248" s="106">
        <f t="shared" ref="BK248:BK250" si="690">SUM(BH248:BJ248)</f>
        <v>14664.95</v>
      </c>
      <c r="BL248" s="123">
        <f t="shared" ref="BL248:BL250" si="691">BJ248/BI248</f>
        <v>0.17154289824328198</v>
      </c>
      <c r="BM248" s="123">
        <f t="shared" ref="BM248:BM250" si="692">BH248/BI248</f>
        <v>0.49742455763391619</v>
      </c>
      <c r="BN248" s="123" t="s">
        <v>5</v>
      </c>
      <c r="BO248" s="123">
        <v>25</v>
      </c>
      <c r="BP248" s="123"/>
      <c r="BQ248" s="123"/>
      <c r="BR248" s="123"/>
      <c r="BS248" s="98"/>
      <c r="FA248" s="130"/>
      <c r="FB248" s="123"/>
      <c r="FC248" s="123"/>
      <c r="FD248" s="123"/>
      <c r="FE248" s="123"/>
      <c r="FF248" s="124" t="s">
        <v>420</v>
      </c>
      <c r="FG248" s="103">
        <f>AVERAGE(FG244:FG246)</f>
        <v>4.5641225248976918</v>
      </c>
      <c r="FH248" s="123"/>
      <c r="FI248" s="123"/>
      <c r="FJ248" s="123"/>
      <c r="FK248" s="123"/>
      <c r="FL248" s="98"/>
    </row>
    <row r="249" spans="1:168" ht="15.75" thickBot="1">
      <c r="A249" s="7"/>
      <c r="B249" s="105">
        <f>SUM(B246:B248)</f>
        <v>370.52319999999997</v>
      </c>
      <c r="C249" s="107">
        <f>SUM(C246:C248)</f>
        <v>722.79899999999998</v>
      </c>
      <c r="D249" s="109">
        <f>SUM(D246:D248)</f>
        <v>547.31799999999998</v>
      </c>
      <c r="E249" s="101">
        <f t="shared" si="684"/>
        <v>1640.6402</v>
      </c>
      <c r="F249" s="123">
        <f t="shared" si="685"/>
        <v>0.7572201953793517</v>
      </c>
      <c r="G249" s="123">
        <f t="shared" si="686"/>
        <v>0.51262273467450836</v>
      </c>
      <c r="L249" s="98"/>
      <c r="S249" s="7"/>
      <c r="T249" s="105">
        <f>SUM(T246:T248)</f>
        <v>287.36899999999997</v>
      </c>
      <c r="U249" s="107">
        <f>SUM(U246:U248)</f>
        <v>1788.8670000000002</v>
      </c>
      <c r="V249" s="109">
        <f>SUM(V246:V248)</f>
        <v>1062.5059999999999</v>
      </c>
      <c r="W249" s="101">
        <f t="shared" si="687"/>
        <v>3138.7420000000002</v>
      </c>
      <c r="X249" s="123">
        <f t="shared" si="688"/>
        <v>0.59395472106087244</v>
      </c>
      <c r="Y249" s="123">
        <f t="shared" si="689"/>
        <v>0.16064302153262369</v>
      </c>
      <c r="AD249" s="98"/>
      <c r="BG249" s="4" t="s">
        <v>5</v>
      </c>
      <c r="BH249" s="5">
        <v>760.27099999999996</v>
      </c>
      <c r="BI249" s="5">
        <v>1498.36</v>
      </c>
      <c r="BJ249" s="5">
        <v>257.03199999999998</v>
      </c>
      <c r="BK249" s="108">
        <f t="shared" si="690"/>
        <v>2515.663</v>
      </c>
      <c r="BL249" s="123">
        <f t="shared" si="691"/>
        <v>0.17154221949331269</v>
      </c>
      <c r="BM249" s="123">
        <f t="shared" si="692"/>
        <v>0.50740209295496408</v>
      </c>
      <c r="BN249" s="123"/>
      <c r="BO249" s="123"/>
      <c r="BP249" s="123"/>
      <c r="BQ249" s="123"/>
      <c r="BR249" s="123"/>
      <c r="BS249" s="98"/>
      <c r="FA249" s="130"/>
      <c r="FB249" s="123"/>
      <c r="FC249" s="123"/>
      <c r="FD249" s="123"/>
      <c r="FE249" s="123"/>
      <c r="FF249" s="123"/>
      <c r="FG249" s="123"/>
      <c r="FH249" s="123"/>
      <c r="FI249" s="123"/>
      <c r="FJ249" s="123" t="s">
        <v>419</v>
      </c>
      <c r="FK249" s="123">
        <v>2E-3</v>
      </c>
      <c r="FL249" s="98"/>
    </row>
    <row r="250" spans="1:168" ht="16.5" thickTop="1" thickBot="1">
      <c r="A250" s="130"/>
      <c r="F250" s="124" t="s">
        <v>420</v>
      </c>
      <c r="G250" s="103">
        <f>AVERAGE(G246:G248)</f>
        <v>0.51184651087726807</v>
      </c>
      <c r="L250" s="98"/>
      <c r="X250" s="124" t="s">
        <v>420</v>
      </c>
      <c r="Y250" s="103">
        <f>AVERAGE(Y246:Y248)</f>
        <v>0.14038497764398286</v>
      </c>
      <c r="AD250" s="98"/>
      <c r="BG250" s="7"/>
      <c r="BH250" s="105">
        <f>SUM(BH247:BH249)</f>
        <v>7327.6509999999998</v>
      </c>
      <c r="BI250" s="107">
        <f>SUM(BI247:BI249)</f>
        <v>14664.95</v>
      </c>
      <c r="BJ250" s="109">
        <f>SUM(BJ247:BJ249)</f>
        <v>2515.665</v>
      </c>
      <c r="BK250" s="101">
        <f t="shared" si="690"/>
        <v>24508.266000000003</v>
      </c>
      <c r="BL250" s="123">
        <f t="shared" si="691"/>
        <v>0.17154269192871438</v>
      </c>
      <c r="BM250" s="123">
        <f t="shared" si="692"/>
        <v>0.49967105240727033</v>
      </c>
      <c r="BN250" s="123"/>
      <c r="BO250" s="123"/>
      <c r="BP250" s="123"/>
      <c r="BQ250" s="123"/>
      <c r="BR250" s="123"/>
      <c r="BS250" s="98"/>
      <c r="FA250" s="140" t="s">
        <v>254</v>
      </c>
      <c r="FB250" s="123"/>
      <c r="FC250" s="123"/>
      <c r="FD250" s="123"/>
      <c r="FE250" s="123"/>
      <c r="FF250" s="123"/>
      <c r="FG250" s="123"/>
      <c r="FH250" s="123"/>
      <c r="FI250" s="123"/>
      <c r="FJ250" s="124" t="s">
        <v>218</v>
      </c>
      <c r="FK250" s="123"/>
      <c r="FL250" s="98"/>
    </row>
    <row r="251" spans="1:168" ht="15.75" thickTop="1">
      <c r="A251" s="130"/>
      <c r="L251" s="98"/>
      <c r="AD251" s="98"/>
      <c r="BG251" s="130"/>
      <c r="BH251" s="123"/>
      <c r="BI251" s="123"/>
      <c r="BJ251" s="123"/>
      <c r="BK251" s="123"/>
      <c r="BL251" s="124" t="s">
        <v>420</v>
      </c>
      <c r="BM251" s="103">
        <f>AVERAGE(BM247:BM249)</f>
        <v>0.50211994770756696</v>
      </c>
      <c r="BN251" s="123"/>
      <c r="BO251" s="123"/>
      <c r="BP251" s="123"/>
      <c r="BQ251" s="123"/>
      <c r="BR251" s="123"/>
      <c r="BS251" s="98"/>
      <c r="FA251" s="1"/>
      <c r="FB251" s="2" t="s">
        <v>8</v>
      </c>
      <c r="FC251" s="2" t="s">
        <v>9</v>
      </c>
      <c r="FD251" s="2" t="s">
        <v>10</v>
      </c>
      <c r="FE251" s="2" t="s">
        <v>11</v>
      </c>
      <c r="FF251" s="259" t="s">
        <v>16</v>
      </c>
      <c r="FG251" s="253" t="s">
        <v>172</v>
      </c>
      <c r="FH251" s="124" t="s">
        <v>171</v>
      </c>
      <c r="FI251" s="123"/>
      <c r="FJ251" s="123">
        <f>FK249</f>
        <v>2E-3</v>
      </c>
      <c r="FK251" s="103" t="s">
        <v>212</v>
      </c>
      <c r="FL251" s="98"/>
    </row>
    <row r="252" spans="1:168" ht="15.75" thickBot="1">
      <c r="A252" s="140" t="s">
        <v>254</v>
      </c>
      <c r="J252" s="124" t="s">
        <v>218</v>
      </c>
      <c r="L252" s="98"/>
      <c r="S252" s="140" t="s">
        <v>254</v>
      </c>
      <c r="AB252" s="124" t="s">
        <v>218</v>
      </c>
      <c r="AD252" s="98"/>
      <c r="BG252" s="130"/>
      <c r="BH252" s="123"/>
      <c r="BI252" s="123"/>
      <c r="BJ252" s="123"/>
      <c r="BK252" s="123"/>
      <c r="BL252" s="123"/>
      <c r="BM252" s="123"/>
      <c r="BN252" s="123"/>
      <c r="BO252" s="123"/>
      <c r="BP252" s="123"/>
      <c r="BQ252" s="123"/>
      <c r="BR252" s="123"/>
      <c r="BS252" s="98"/>
      <c r="FA252" s="4" t="s">
        <v>3</v>
      </c>
      <c r="FB252" s="170">
        <f>2.62238*10^6</f>
        <v>2622380</v>
      </c>
      <c r="FC252" s="170">
        <v>576931</v>
      </c>
      <c r="FD252" s="170">
        <v>294828</v>
      </c>
      <c r="FE252" s="260">
        <f>SUM(FB252:FD252)</f>
        <v>3494139</v>
      </c>
      <c r="FF252" s="5">
        <f>FD252/(FB252+FC252)</f>
        <v>9.21535918202388E-2</v>
      </c>
      <c r="FG252" s="41">
        <f>FB252/FC252</f>
        <v>4.5453962432249266</v>
      </c>
      <c r="FH252" s="125">
        <f>ABS((FE255-FE247)/FE247)</f>
        <v>9.12399750855415E-4</v>
      </c>
      <c r="FI252" s="123"/>
      <c r="FJ252" s="123">
        <f>FK249</f>
        <v>2E-3</v>
      </c>
      <c r="FK252" s="123" t="s">
        <v>213</v>
      </c>
      <c r="FL252" s="98"/>
    </row>
    <row r="253" spans="1:168" ht="16.5" thickTop="1" thickBot="1">
      <c r="A253" s="1"/>
      <c r="B253" s="2" t="s">
        <v>8</v>
      </c>
      <c r="C253" s="2" t="s">
        <v>9</v>
      </c>
      <c r="D253" s="2" t="s">
        <v>10</v>
      </c>
      <c r="E253" s="3" t="s">
        <v>11</v>
      </c>
      <c r="F253" s="103" t="s">
        <v>16</v>
      </c>
      <c r="G253" s="103" t="s">
        <v>172</v>
      </c>
      <c r="H253" s="124" t="s">
        <v>171</v>
      </c>
      <c r="J253" s="123">
        <v>0.08</v>
      </c>
      <c r="K253" s="103" t="s">
        <v>212</v>
      </c>
      <c r="L253" s="98" t="s">
        <v>240</v>
      </c>
      <c r="S253" s="1"/>
      <c r="T253" s="2" t="s">
        <v>8</v>
      </c>
      <c r="U253" s="2" t="s">
        <v>9</v>
      </c>
      <c r="V253" s="2" t="s">
        <v>10</v>
      </c>
      <c r="W253" s="3" t="s">
        <v>11</v>
      </c>
      <c r="X253" s="103" t="s">
        <v>16</v>
      </c>
      <c r="Y253" s="103" t="s">
        <v>172</v>
      </c>
      <c r="Z253" s="124" t="s">
        <v>171</v>
      </c>
      <c r="AB253" s="123">
        <v>0.01</v>
      </c>
      <c r="AC253" s="103" t="s">
        <v>212</v>
      </c>
      <c r="AD253" s="98"/>
      <c r="BG253" s="140" t="s">
        <v>254</v>
      </c>
      <c r="BH253" s="123"/>
      <c r="BI253" s="123"/>
      <c r="BJ253" s="123"/>
      <c r="BK253" s="123"/>
      <c r="BL253" s="123"/>
      <c r="BM253" s="123"/>
      <c r="BN253" s="123"/>
      <c r="BO253" s="123"/>
      <c r="BP253" s="123"/>
      <c r="BQ253" s="124" t="s">
        <v>218</v>
      </c>
      <c r="BR253" s="123"/>
      <c r="BS253" s="98"/>
      <c r="FA253" s="4" t="s">
        <v>4</v>
      </c>
      <c r="FB253" s="170">
        <v>576250</v>
      </c>
      <c r="FC253" s="170">
        <v>126932</v>
      </c>
      <c r="FD253" s="170">
        <v>64800.7</v>
      </c>
      <c r="FE253" s="261">
        <f t="shared" ref="FE253:FE254" si="693">SUM(FB253:FD253)</f>
        <v>767982.7</v>
      </c>
      <c r="FF253" s="5">
        <f t="shared" ref="FF253:FF255" si="694">FD253/(FB253+FC253)</f>
        <v>9.2153524976464132E-2</v>
      </c>
      <c r="FG253" s="41">
        <f t="shared" ref="FG253:FG255" si="695">FB253/FC253</f>
        <v>4.5398323511801593</v>
      </c>
      <c r="FH253" s="123"/>
      <c r="FI253" s="123"/>
      <c r="FJ253" s="123">
        <f>FK249</f>
        <v>2E-3</v>
      </c>
      <c r="FK253" s="123" t="s">
        <v>214</v>
      </c>
      <c r="FL253" s="98"/>
    </row>
    <row r="254" spans="1:168" ht="15.75" thickTop="1">
      <c r="A254" s="4" t="s">
        <v>3</v>
      </c>
      <c r="B254" s="100">
        <v>86.217299999999994</v>
      </c>
      <c r="C254" s="5">
        <v>163.97399999999999</v>
      </c>
      <c r="D254" s="5">
        <v>123.459</v>
      </c>
      <c r="E254" s="110">
        <f>SUM(B254:D254)</f>
        <v>373.65030000000002</v>
      </c>
      <c r="F254" s="123">
        <f>D254/(B254+C254)</f>
        <v>0.49345840562801346</v>
      </c>
      <c r="G254" s="123">
        <f>B254/C254</f>
        <v>0.52579860221742469</v>
      </c>
      <c r="H254" s="125">
        <f>ABS((E257-E249)/E249)</f>
        <v>9.6493429820870402E-3</v>
      </c>
      <c r="J254" s="123">
        <f>J253</f>
        <v>0.08</v>
      </c>
      <c r="K254" s="123" t="s">
        <v>213</v>
      </c>
      <c r="L254" s="98" t="s">
        <v>241</v>
      </c>
      <c r="S254" s="4" t="s">
        <v>3</v>
      </c>
      <c r="T254" s="100">
        <v>17.935500000000001</v>
      </c>
      <c r="U254" s="5">
        <v>172.61099999999999</v>
      </c>
      <c r="V254" s="5">
        <v>95.82</v>
      </c>
      <c r="W254" s="110">
        <f>SUM(T254:V254)</f>
        <v>286.36649999999997</v>
      </c>
      <c r="X254" s="123">
        <f>V254/(T254+U254)</f>
        <v>0.50286937834071999</v>
      </c>
      <c r="Y254" s="123">
        <f>T254/U254</f>
        <v>0.10390705111493476</v>
      </c>
      <c r="Z254" s="125">
        <f>ABS((W257-W249)/W249)</f>
        <v>1.167773585723173E-2</v>
      </c>
      <c r="AB254" s="123">
        <v>0.05</v>
      </c>
      <c r="AC254" s="123" t="s">
        <v>213</v>
      </c>
      <c r="AD254" s="98"/>
      <c r="BG254" s="1"/>
      <c r="BH254" s="2" t="s">
        <v>8</v>
      </c>
      <c r="BI254" s="2" t="s">
        <v>9</v>
      </c>
      <c r="BJ254" s="2" t="s">
        <v>10</v>
      </c>
      <c r="BK254" s="3" t="s">
        <v>11</v>
      </c>
      <c r="BL254" s="103" t="s">
        <v>16</v>
      </c>
      <c r="BM254" s="103" t="s">
        <v>172</v>
      </c>
      <c r="BN254" s="124" t="s">
        <v>171</v>
      </c>
      <c r="BO254" s="123"/>
      <c r="BP254" s="123"/>
      <c r="BQ254" s="123">
        <v>1.4999999999999999E-2</v>
      </c>
      <c r="BR254" s="103" t="s">
        <v>212</v>
      </c>
      <c r="BS254" s="98" t="s">
        <v>240</v>
      </c>
      <c r="FA254" s="4" t="s">
        <v>5</v>
      </c>
      <c r="FB254" s="170">
        <v>295508</v>
      </c>
      <c r="FC254" s="170">
        <v>64120.3</v>
      </c>
      <c r="FD254" s="170">
        <v>33141</v>
      </c>
      <c r="FE254" s="262">
        <f t="shared" si="693"/>
        <v>392769.3</v>
      </c>
      <c r="FF254" s="5">
        <f t="shared" si="694"/>
        <v>9.2153481803295245E-2</v>
      </c>
      <c r="FG254" s="41">
        <f t="shared" si="695"/>
        <v>4.6086496788068674</v>
      </c>
      <c r="FH254" s="123"/>
      <c r="FI254" s="123" t="s">
        <v>397</v>
      </c>
      <c r="FJ254" s="123"/>
      <c r="FK254" s="103" t="s">
        <v>215</v>
      </c>
      <c r="FL254" s="98"/>
    </row>
    <row r="255" spans="1:168" ht="15.75" thickBot="1">
      <c r="A255" s="4" t="s">
        <v>4</v>
      </c>
      <c r="B255" s="5">
        <v>172.15100000000001</v>
      </c>
      <c r="C255" s="5">
        <v>320.33199999999999</v>
      </c>
      <c r="D255" s="5">
        <v>243.01900000000001</v>
      </c>
      <c r="E255" s="112">
        <f t="shared" ref="E255:E256" si="696">SUM(B255:D255)</f>
        <v>735.50199999999995</v>
      </c>
      <c r="F255" s="123">
        <f t="shared" ref="F255:F257" si="697">D255/(B255+C255)</f>
        <v>0.4934566269292544</v>
      </c>
      <c r="G255" s="123">
        <f t="shared" ref="G255:G257" si="698">B255/C255</f>
        <v>0.53741430765580711</v>
      </c>
      <c r="J255" s="123">
        <f t="shared" ref="J255:J258" si="699">J254</f>
        <v>0.08</v>
      </c>
      <c r="K255" s="123" t="s">
        <v>214</v>
      </c>
      <c r="L255" s="98" t="s">
        <v>242</v>
      </c>
      <c r="S255" s="4" t="s">
        <v>4</v>
      </c>
      <c r="T255" s="5">
        <v>194.828</v>
      </c>
      <c r="U255" s="5">
        <v>1020.53</v>
      </c>
      <c r="V255" s="5">
        <v>611.16499999999996</v>
      </c>
      <c r="W255" s="112">
        <f t="shared" ref="W255:W256" si="700">SUM(T255:V255)</f>
        <v>1826.5229999999999</v>
      </c>
      <c r="X255" s="123">
        <f t="shared" ref="X255:X257" si="701">V255/(T255+U255)</f>
        <v>0.50286829066003591</v>
      </c>
      <c r="Y255" s="123">
        <f t="shared" ref="Y255:Y257" si="702">T255/U255</f>
        <v>0.19090864550772638</v>
      </c>
      <c r="AB255" s="123">
        <v>0.04</v>
      </c>
      <c r="AC255" s="123" t="s">
        <v>214</v>
      </c>
      <c r="AD255" s="98"/>
      <c r="BG255" s="4" t="s">
        <v>3</v>
      </c>
      <c r="BH255" s="100">
        <v>2195.7199999999998</v>
      </c>
      <c r="BI255" s="5">
        <v>4377.1400000000003</v>
      </c>
      <c r="BJ255" s="5">
        <v>752.25099999999998</v>
      </c>
      <c r="BK255" s="110">
        <f>SUM(BH255:BJ255)</f>
        <v>7325.1110000000008</v>
      </c>
      <c r="BL255" s="123">
        <f>BJ255/(BH255+BI255)</f>
        <v>0.1144480484903071</v>
      </c>
      <c r="BM255" s="123">
        <f>BH255/BI255</f>
        <v>0.50163348670593122</v>
      </c>
      <c r="BN255" s="125">
        <f>ABS((BK258-BK250)/BK250)</f>
        <v>4.8126619810646293E-4</v>
      </c>
      <c r="BO255" s="123"/>
      <c r="BP255" s="123"/>
      <c r="BQ255" s="123">
        <f>BQ254</f>
        <v>1.4999999999999999E-2</v>
      </c>
      <c r="BR255" s="123" t="s">
        <v>213</v>
      </c>
      <c r="BS255" s="98" t="s">
        <v>241</v>
      </c>
      <c r="FA255" s="7"/>
      <c r="FB255" s="263">
        <f>SUM(FB252:FB254)</f>
        <v>3494138</v>
      </c>
      <c r="FC255" s="264">
        <f t="shared" ref="FC255:FD255" si="703">SUM(FC252:FC254)</f>
        <v>767983.3</v>
      </c>
      <c r="FD255" s="265">
        <f t="shared" si="703"/>
        <v>392769.7</v>
      </c>
      <c r="FE255" s="173">
        <f>SUM(FE252:FE254)</f>
        <v>4654891</v>
      </c>
      <c r="FF255" s="8">
        <f t="shared" si="694"/>
        <v>9.2153571509098073E-2</v>
      </c>
      <c r="FG255" s="44">
        <f t="shared" si="695"/>
        <v>4.5497577877018935</v>
      </c>
      <c r="FH255" s="123"/>
      <c r="FI255" s="123" t="s">
        <v>398</v>
      </c>
      <c r="FJ255" s="123"/>
      <c r="FK255" s="103" t="s">
        <v>216</v>
      </c>
      <c r="FL255" s="98"/>
    </row>
    <row r="256" spans="1:168" ht="15.75" thickTop="1">
      <c r="A256" s="4" t="s">
        <v>5</v>
      </c>
      <c r="B256" s="5">
        <v>115.28100000000001</v>
      </c>
      <c r="C256" s="5">
        <v>251.197</v>
      </c>
      <c r="D256" s="5">
        <v>180.84100000000001</v>
      </c>
      <c r="E256" s="108">
        <f t="shared" si="696"/>
        <v>547.31899999999996</v>
      </c>
      <c r="F256" s="123">
        <f t="shared" si="697"/>
        <v>0.49345663314032495</v>
      </c>
      <c r="G256" s="123">
        <f t="shared" si="698"/>
        <v>0.45892665915596126</v>
      </c>
      <c r="J256" s="123">
        <f t="shared" si="699"/>
        <v>0.08</v>
      </c>
      <c r="K256" s="103" t="s">
        <v>215</v>
      </c>
      <c r="L256" s="98" t="s">
        <v>243</v>
      </c>
      <c r="S256" s="4" t="s">
        <v>5</v>
      </c>
      <c r="T256" s="5">
        <v>73.603899999999996</v>
      </c>
      <c r="U256" s="5">
        <v>633.38199999999995</v>
      </c>
      <c r="V256" s="5">
        <v>355.52</v>
      </c>
      <c r="W256" s="108">
        <f t="shared" si="700"/>
        <v>1062.5058999999999</v>
      </c>
      <c r="X256" s="123">
        <f t="shared" si="701"/>
        <v>0.50286717174981854</v>
      </c>
      <c r="Y256" s="123">
        <f t="shared" si="702"/>
        <v>0.11620775456201787</v>
      </c>
      <c r="AB256" s="103">
        <v>0.02</v>
      </c>
      <c r="AC256" s="103" t="s">
        <v>215</v>
      </c>
      <c r="AD256" s="98"/>
      <c r="BG256" s="4" t="s">
        <v>4</v>
      </c>
      <c r="BH256" s="5">
        <v>4369.3100000000004</v>
      </c>
      <c r="BI256" s="5">
        <v>8781.33</v>
      </c>
      <c r="BJ256" s="5">
        <v>1505.06</v>
      </c>
      <c r="BK256" s="112">
        <f t="shared" ref="BK256:BK257" si="704">SUM(BH256:BJ256)</f>
        <v>14655.699999999999</v>
      </c>
      <c r="BL256" s="123">
        <f t="shared" ref="BL256:BL258" si="705">BJ256/(BH256+BI256)</f>
        <v>0.1144476618628447</v>
      </c>
      <c r="BM256" s="123">
        <f t="shared" ref="BM256:BM258" si="706">BH256/BI256</f>
        <v>0.49756813603406325</v>
      </c>
      <c r="BN256" s="123"/>
      <c r="BO256" s="123"/>
      <c r="BP256" s="123"/>
      <c r="BQ256" s="123">
        <f t="shared" ref="BQ256" si="707">BQ255</f>
        <v>1.4999999999999999E-2</v>
      </c>
      <c r="BR256" s="123" t="s">
        <v>214</v>
      </c>
      <c r="BS256" s="98" t="s">
        <v>242</v>
      </c>
      <c r="FA256" s="130"/>
      <c r="FB256" s="123"/>
      <c r="FC256" s="123"/>
      <c r="FD256" s="123"/>
      <c r="FE256" s="123"/>
      <c r="FF256" s="124" t="s">
        <v>420</v>
      </c>
      <c r="FG256" s="103">
        <f>AVERAGE(FG252:FG254)</f>
        <v>4.5646260910706511</v>
      </c>
      <c r="FH256" s="123"/>
      <c r="FI256" s="123" t="s">
        <v>399</v>
      </c>
      <c r="FJ256" s="123"/>
      <c r="FK256" s="103" t="s">
        <v>217</v>
      </c>
      <c r="FL256" s="98"/>
    </row>
    <row r="257" spans="1:168" ht="15.75" thickBot="1">
      <c r="A257" s="7"/>
      <c r="B257" s="111">
        <f>SUM(B254:B256)</f>
        <v>373.64929999999998</v>
      </c>
      <c r="C257" s="113">
        <f t="shared" ref="C257:D257" si="708">SUM(C254:C256)</f>
        <v>735.50299999999993</v>
      </c>
      <c r="D257" s="109">
        <f t="shared" si="708"/>
        <v>547.31899999999996</v>
      </c>
      <c r="E257" s="102">
        <f>SUM(E254:E256)</f>
        <v>1656.4712999999999</v>
      </c>
      <c r="F257" s="123">
        <f t="shared" si="697"/>
        <v>0.49345703020225445</v>
      </c>
      <c r="G257" s="123">
        <f t="shared" si="698"/>
        <v>0.50801873003917053</v>
      </c>
      <c r="J257" s="123">
        <f t="shared" si="699"/>
        <v>0.08</v>
      </c>
      <c r="K257" s="103" t="s">
        <v>216</v>
      </c>
      <c r="L257" s="98" t="s">
        <v>244</v>
      </c>
      <c r="S257" s="7"/>
      <c r="T257" s="111">
        <f>SUM(T254:T256)</f>
        <v>286.36739999999998</v>
      </c>
      <c r="U257" s="113">
        <f t="shared" ref="U257:V257" si="709">SUM(U254:U256)</f>
        <v>1826.5230000000001</v>
      </c>
      <c r="V257" s="109">
        <f t="shared" si="709"/>
        <v>1062.5049999999999</v>
      </c>
      <c r="W257" s="102">
        <f>SUM(W254:W256)</f>
        <v>3175.3953999999994</v>
      </c>
      <c r="X257" s="123">
        <f t="shared" si="701"/>
        <v>0.50286801435606876</v>
      </c>
      <c r="Y257" s="123">
        <f t="shared" si="702"/>
        <v>0.15678280536297651</v>
      </c>
      <c r="AB257" s="103">
        <v>5.5E-2</v>
      </c>
      <c r="AC257" s="103" t="s">
        <v>216</v>
      </c>
      <c r="AD257" s="98"/>
      <c r="BG257" s="4" t="s">
        <v>5</v>
      </c>
      <c r="BH257" s="5">
        <v>760.07500000000005</v>
      </c>
      <c r="BI257" s="5">
        <v>1497.24</v>
      </c>
      <c r="BJ257" s="5">
        <v>258.34500000000003</v>
      </c>
      <c r="BK257" s="108">
        <f t="shared" si="704"/>
        <v>2515.66</v>
      </c>
      <c r="BL257" s="123">
        <f t="shared" si="705"/>
        <v>0.11444791710505624</v>
      </c>
      <c r="BM257" s="123">
        <f t="shared" si="706"/>
        <v>0.50765074403569233</v>
      </c>
      <c r="BN257" s="123"/>
      <c r="BO257" s="123"/>
      <c r="BP257" s="123"/>
      <c r="BQ257" s="123">
        <f t="shared" ref="BQ257" si="710">BQ256</f>
        <v>1.4999999999999999E-2</v>
      </c>
      <c r="BR257" s="103" t="s">
        <v>215</v>
      </c>
      <c r="BS257" s="98" t="s">
        <v>243</v>
      </c>
      <c r="FA257" s="130" t="s">
        <v>12</v>
      </c>
      <c r="FB257" s="123">
        <f>FB252/FB244</f>
        <v>0.9990247396130959</v>
      </c>
      <c r="FC257" s="123" t="s">
        <v>163</v>
      </c>
      <c r="FD257" s="123">
        <f>FC252/FC244</f>
        <v>0.99891785385313281</v>
      </c>
      <c r="FE257" s="124" t="s">
        <v>255</v>
      </c>
      <c r="FF257" s="123"/>
      <c r="FG257" s="123"/>
      <c r="FH257" s="123"/>
      <c r="FI257" s="123"/>
      <c r="FJ257" s="124" t="s">
        <v>396</v>
      </c>
      <c r="FK257" s="123"/>
      <c r="FL257" s="98"/>
    </row>
    <row r="258" spans="1:168" ht="16.5" thickTop="1" thickBot="1">
      <c r="A258" s="130"/>
      <c r="F258" s="124" t="s">
        <v>420</v>
      </c>
      <c r="G258" s="103">
        <f>AVERAGE(G254:G256)</f>
        <v>0.50737985634306437</v>
      </c>
      <c r="J258" s="123">
        <f t="shared" si="699"/>
        <v>0.08</v>
      </c>
      <c r="K258" s="103" t="s">
        <v>217</v>
      </c>
      <c r="L258" s="98" t="s">
        <v>245</v>
      </c>
      <c r="X258" s="124" t="s">
        <v>420</v>
      </c>
      <c r="Y258" s="103">
        <f>AVERAGE(Y254:Y256)</f>
        <v>0.13700781706155968</v>
      </c>
      <c r="AB258" s="103">
        <v>0.08</v>
      </c>
      <c r="AC258" s="103" t="s">
        <v>217</v>
      </c>
      <c r="AD258" s="98"/>
      <c r="BG258" s="7"/>
      <c r="BH258" s="111">
        <f>SUM(BH255:BH257)</f>
        <v>7325.1050000000005</v>
      </c>
      <c r="BI258" s="113">
        <f t="shared" ref="BI258:BJ258" si="711">SUM(BI255:BI257)</f>
        <v>14655.710000000001</v>
      </c>
      <c r="BJ258" s="109">
        <f t="shared" si="711"/>
        <v>2515.6559999999999</v>
      </c>
      <c r="BK258" s="102">
        <f>SUM(BK255:BK257)</f>
        <v>24496.471000000001</v>
      </c>
      <c r="BL258" s="123">
        <f t="shared" si="705"/>
        <v>0.11444780368698794</v>
      </c>
      <c r="BM258" s="123">
        <f t="shared" si="706"/>
        <v>0.49981235982425964</v>
      </c>
      <c r="BN258" s="123"/>
      <c r="BO258" s="123"/>
      <c r="BP258" s="123"/>
      <c r="BQ258" s="123">
        <f t="shared" ref="BQ258" si="712">BQ257</f>
        <v>1.4999999999999999E-2</v>
      </c>
      <c r="BR258" s="103" t="s">
        <v>216</v>
      </c>
      <c r="BS258" s="98" t="s">
        <v>244</v>
      </c>
      <c r="FA258" s="130" t="s">
        <v>13</v>
      </c>
      <c r="FB258" s="123">
        <f t="shared" ref="FB258:FB259" si="713">FB253/FB245</f>
        <v>0.99899623631960255</v>
      </c>
      <c r="FC258" s="123" t="s">
        <v>164</v>
      </c>
      <c r="FD258" s="123">
        <f t="shared" ref="FD258:FD259" si="714">FC253/FC245</f>
        <v>0.99891398441803725</v>
      </c>
      <c r="FE258" s="123">
        <f>VAR(FG244:FG246)</f>
        <v>1.4512932609482593E-3</v>
      </c>
      <c r="FF258" s="124">
        <f>STDEV(FG244:FG246)/FG248</f>
        <v>8.3468055217502876E-3</v>
      </c>
      <c r="FG258" s="124" t="s">
        <v>449</v>
      </c>
      <c r="FH258" s="123"/>
      <c r="FI258" s="123"/>
      <c r="FJ258" s="123" t="s">
        <v>415</v>
      </c>
      <c r="FK258" s="123"/>
      <c r="FL258" s="98"/>
    </row>
    <row r="259" spans="1:168" ht="15.75" thickTop="1">
      <c r="A259" s="130" t="s">
        <v>12</v>
      </c>
      <c r="B259" s="123">
        <f>B254/B246</f>
        <v>1.0032827060389689</v>
      </c>
      <c r="C259" s="123" t="s">
        <v>163</v>
      </c>
      <c r="D259" s="123">
        <f>C254/C246</f>
        <v>1.0124789290720146</v>
      </c>
      <c r="E259" s="124" t="s">
        <v>255</v>
      </c>
      <c r="J259" s="124" t="s">
        <v>246</v>
      </c>
      <c r="L259" s="98"/>
      <c r="S259" s="130" t="s">
        <v>12</v>
      </c>
      <c r="T259" s="123">
        <f>T254/T246</f>
        <v>0.99657168892938908</v>
      </c>
      <c r="U259" s="123" t="s">
        <v>163</v>
      </c>
      <c r="V259" s="123">
        <f>U254/U246</f>
        <v>1.0213910388411558</v>
      </c>
      <c r="W259" s="124" t="s">
        <v>255</v>
      </c>
      <c r="AB259" s="138" t="s">
        <v>249</v>
      </c>
      <c r="AD259" s="98"/>
      <c r="BG259" s="130"/>
      <c r="BH259" s="123"/>
      <c r="BI259" s="123"/>
      <c r="BJ259" s="123"/>
      <c r="BK259" s="123"/>
      <c r="BL259" s="124" t="s">
        <v>420</v>
      </c>
      <c r="BM259" s="103">
        <f>AVERAGE(BM255:BM257)</f>
        <v>0.50228412225856223</v>
      </c>
      <c r="BN259" s="123"/>
      <c r="BO259" s="123"/>
      <c r="BP259" s="123"/>
      <c r="BQ259" s="123">
        <f t="shared" ref="BQ259" si="715">BQ258</f>
        <v>1.4999999999999999E-2</v>
      </c>
      <c r="BR259" s="103" t="s">
        <v>217</v>
      </c>
      <c r="BS259" s="98" t="s">
        <v>245</v>
      </c>
      <c r="FA259" s="130" t="s">
        <v>14</v>
      </c>
      <c r="FB259" s="123">
        <f t="shared" si="713"/>
        <v>0.99905675367747737</v>
      </c>
      <c r="FC259" s="123" t="s">
        <v>165</v>
      </c>
      <c r="FD259" s="123">
        <f t="shared" si="714"/>
        <v>0.99891571727016248</v>
      </c>
      <c r="FE259" s="123">
        <f>FE258/FG248</f>
        <v>3.1797859348238927E-4</v>
      </c>
      <c r="FF259" s="123"/>
      <c r="FG259" s="124" t="s">
        <v>438</v>
      </c>
      <c r="FH259" s="123"/>
      <c r="FI259" s="123"/>
      <c r="FJ259" s="123" t="s">
        <v>403</v>
      </c>
      <c r="FK259" s="123">
        <v>1</v>
      </c>
      <c r="FL259" s="98" t="s">
        <v>416</v>
      </c>
    </row>
    <row r="260" spans="1:168">
      <c r="A260" s="130" t="s">
        <v>13</v>
      </c>
      <c r="B260" s="123">
        <f t="shared" ref="B260:B261" si="716">B255/B247</f>
        <v>1.0078272272764528</v>
      </c>
      <c r="C260" s="123" t="s">
        <v>164</v>
      </c>
      <c r="D260" s="123">
        <f t="shared" ref="D260:D261" si="717">C255/C247</f>
        <v>1.0197628961811258</v>
      </c>
      <c r="E260" s="123">
        <f>VAR(G246:G248)</f>
        <v>1.9714738229459905E-3</v>
      </c>
      <c r="F260" s="124">
        <f>STDEV(G246:G248)/G250</f>
        <v>8.674725885174088E-2</v>
      </c>
      <c r="G260" s="124" t="s">
        <v>449</v>
      </c>
      <c r="L260" s="98"/>
      <c r="S260" s="130" t="s">
        <v>13</v>
      </c>
      <c r="T260" s="123">
        <f t="shared" ref="T260:T261" si="718">T255/T247</f>
        <v>0.9964454309723153</v>
      </c>
      <c r="U260" s="123" t="s">
        <v>164</v>
      </c>
      <c r="V260" s="123">
        <f t="shared" ref="V260:V261" si="719">U255/U247</f>
        <v>1.0209210127478825</v>
      </c>
      <c r="W260" s="123">
        <f>VAR(Y246:Y248)</f>
        <v>2.3258359051189954E-3</v>
      </c>
      <c r="X260" s="124">
        <f>STDEV(Y246:Y248)/Y250</f>
        <v>0.34353334500371457</v>
      </c>
      <c r="Y260" s="124" t="s">
        <v>449</v>
      </c>
      <c r="AD260" s="98"/>
      <c r="BG260" s="130" t="s">
        <v>12</v>
      </c>
      <c r="BH260" s="123">
        <f>BH255/BH247</f>
        <v>0.9996039315484454</v>
      </c>
      <c r="BI260" s="123" t="s">
        <v>163</v>
      </c>
      <c r="BJ260" s="123">
        <f>BI255/BI247</f>
        <v>0.99940407557508992</v>
      </c>
      <c r="BK260" s="124" t="s">
        <v>255</v>
      </c>
      <c r="BL260" s="123"/>
      <c r="BM260" s="123"/>
      <c r="BN260" s="123"/>
      <c r="BO260" s="123"/>
      <c r="BP260" s="123"/>
      <c r="BQ260" s="124" t="s">
        <v>246</v>
      </c>
      <c r="BR260" s="123"/>
      <c r="BS260" s="98"/>
      <c r="FA260" s="130" t="s">
        <v>15</v>
      </c>
      <c r="FB260" s="123">
        <f>FE252/FE244</f>
        <v>0.99902303208297449</v>
      </c>
      <c r="FC260" s="123" t="s">
        <v>67</v>
      </c>
      <c r="FD260" s="123">
        <f>FE253/FE245</f>
        <v>0.99891612557490994</v>
      </c>
      <c r="FE260" s="124" t="s">
        <v>256</v>
      </c>
      <c r="FF260" s="123"/>
      <c r="FG260" s="123"/>
      <c r="FH260" s="123"/>
      <c r="FI260" s="123"/>
      <c r="FJ260" s="123" t="s">
        <v>401</v>
      </c>
      <c r="FK260" s="123">
        <v>500</v>
      </c>
      <c r="FL260" s="98" t="s">
        <v>417</v>
      </c>
    </row>
    <row r="261" spans="1:168">
      <c r="A261" s="130" t="s">
        <v>14</v>
      </c>
      <c r="B261" s="123">
        <f t="shared" si="716"/>
        <v>1.0132455569813843</v>
      </c>
      <c r="C261" s="123" t="s">
        <v>165</v>
      </c>
      <c r="D261" s="123">
        <f t="shared" si="717"/>
        <v>1.018137823136972</v>
      </c>
      <c r="G261" s="124" t="s">
        <v>438</v>
      </c>
      <c r="L261" s="98"/>
      <c r="S261" s="130" t="s">
        <v>14</v>
      </c>
      <c r="T261" s="123">
        <f t="shared" si="718"/>
        <v>0.99668376466509945</v>
      </c>
      <c r="U261" s="123" t="s">
        <v>165</v>
      </c>
      <c r="V261" s="123">
        <f t="shared" si="719"/>
        <v>1.0211655225117451</v>
      </c>
      <c r="Y261" s="124" t="s">
        <v>438</v>
      </c>
      <c r="AD261" s="98"/>
      <c r="BG261" s="130" t="s">
        <v>13</v>
      </c>
      <c r="BH261" s="123">
        <f t="shared" ref="BH261:BH262" si="720">BH256/BH248</f>
        <v>0.99966138844465202</v>
      </c>
      <c r="BI261" s="123" t="s">
        <v>164</v>
      </c>
      <c r="BJ261" s="123">
        <f t="shared" ref="BJ261:BJ262" si="721">BI256/BI248</f>
        <v>0.99937292587551385</v>
      </c>
      <c r="BK261" s="123">
        <f>VAR(BM247:BM249)</f>
        <v>2.5146013996128244E-5</v>
      </c>
      <c r="BL261" s="124">
        <f>STDEV(BM247:BM249)/BM251</f>
        <v>9.9868172225663267E-3</v>
      </c>
      <c r="BM261" s="124" t="s">
        <v>449</v>
      </c>
      <c r="BN261" s="123"/>
      <c r="BO261" s="123"/>
      <c r="BP261" s="123"/>
      <c r="BQ261" s="123"/>
      <c r="BR261" s="123"/>
      <c r="BS261" s="98"/>
      <c r="FA261" s="130" t="s">
        <v>170</v>
      </c>
      <c r="FB261" s="123">
        <f>VAR(FB257:FB259)</f>
        <v>9.1661477705642154E-10</v>
      </c>
      <c r="FC261" s="123" t="s">
        <v>170</v>
      </c>
      <c r="FD261" s="123">
        <f>VAR(FD257:FD259)</f>
        <v>3.7567152059615826E-12</v>
      </c>
      <c r="FE261" s="123">
        <f>VAR(FG252:FG254)</f>
        <v>1.4612964315477062E-3</v>
      </c>
      <c r="FF261" s="124">
        <f>STDEV(FG252:FG254)/FG256</f>
        <v>8.374597700716753E-3</v>
      </c>
      <c r="FG261" s="124" t="s">
        <v>449</v>
      </c>
      <c r="FH261" s="123"/>
      <c r="FI261" s="123"/>
      <c r="FJ261" s="123"/>
      <c r="FK261" s="123"/>
      <c r="FL261" s="98"/>
    </row>
    <row r="262" spans="1:168">
      <c r="A262" s="130" t="s">
        <v>15</v>
      </c>
      <c r="B262" s="123">
        <f>E254/E246</f>
        <v>1.0084424091188058</v>
      </c>
      <c r="C262" s="123" t="s">
        <v>67</v>
      </c>
      <c r="D262" s="123">
        <f>E255/E247</f>
        <v>1.0175747337779937</v>
      </c>
      <c r="E262" s="124" t="s">
        <v>256</v>
      </c>
      <c r="L262" s="98"/>
      <c r="S262" s="130" t="s">
        <v>15</v>
      </c>
      <c r="T262" s="123">
        <f>W254/W246</f>
        <v>0.99651076037376307</v>
      </c>
      <c r="U262" s="123" t="s">
        <v>67</v>
      </c>
      <c r="V262" s="123">
        <f>W255/W247</f>
        <v>1.0210501954589135</v>
      </c>
      <c r="W262" s="124" t="s">
        <v>256</v>
      </c>
      <c r="AD262" s="98"/>
      <c r="BG262" s="130" t="s">
        <v>14</v>
      </c>
      <c r="BH262" s="123">
        <f t="shared" si="720"/>
        <v>0.99974219719021251</v>
      </c>
      <c r="BI262" s="123" t="s">
        <v>165</v>
      </c>
      <c r="BJ262" s="123">
        <f t="shared" si="721"/>
        <v>0.99925251608425214</v>
      </c>
      <c r="BK262" s="123"/>
      <c r="BL262" s="123"/>
      <c r="BM262" s="124" t="s">
        <v>438</v>
      </c>
      <c r="BN262" s="123"/>
      <c r="BO262" s="123"/>
      <c r="BP262" s="123"/>
      <c r="BQ262" s="123"/>
      <c r="BR262" s="123"/>
      <c r="BS262" s="98"/>
      <c r="FA262" s="130"/>
      <c r="FB262" s="123"/>
      <c r="FC262" s="123"/>
      <c r="FD262" s="123"/>
      <c r="FE262" s="123">
        <f>FE261/FG256</f>
        <v>3.2013496886553383E-4</v>
      </c>
      <c r="FF262" s="123"/>
      <c r="FG262" s="124" t="s">
        <v>438</v>
      </c>
      <c r="FH262" s="123"/>
      <c r="FI262" s="123"/>
      <c r="FJ262" s="123"/>
      <c r="FK262" s="123"/>
      <c r="FL262" s="98"/>
    </row>
    <row r="263" spans="1:168">
      <c r="A263" s="130" t="s">
        <v>170</v>
      </c>
      <c r="B263" s="123">
        <f>VAR(B259:B261)</f>
        <v>2.4878228161679008E-5</v>
      </c>
      <c r="C263" s="123" t="s">
        <v>170</v>
      </c>
      <c r="D263" s="123">
        <f>VAR(D259:D261)</f>
        <v>1.462002021397635E-5</v>
      </c>
      <c r="E263" s="123">
        <f>VAR(G254:G256)</f>
        <v>1.794515391446927E-3</v>
      </c>
      <c r="F263" s="124">
        <f>STDEV(G254:G256)/G258</f>
        <v>8.3491136468412899E-2</v>
      </c>
      <c r="G263" s="124" t="s">
        <v>449</v>
      </c>
      <c r="L263" s="98"/>
      <c r="S263" s="130" t="s">
        <v>170</v>
      </c>
      <c r="T263" s="123">
        <f>VAR(T259:T261)</f>
        <v>1.4217498562598255E-8</v>
      </c>
      <c r="U263" s="123" t="s">
        <v>170</v>
      </c>
      <c r="V263" s="123">
        <f>VAR(V259:V261)</f>
        <v>5.5261194635461114E-8</v>
      </c>
      <c r="W263" s="123">
        <f>VAR(Y254:Y256)</f>
        <v>2.2168013067105884E-3</v>
      </c>
      <c r="X263" s="124">
        <f>STDEV(Y254:Y256)/Y258</f>
        <v>0.34365133675780313</v>
      </c>
      <c r="Y263" s="124" t="s">
        <v>449</v>
      </c>
      <c r="AD263" s="98"/>
      <c r="BG263" s="130" t="s">
        <v>15</v>
      </c>
      <c r="BH263" s="123">
        <f>BK255/BK247</f>
        <v>0.99965309492684773</v>
      </c>
      <c r="BI263" s="123" t="s">
        <v>67</v>
      </c>
      <c r="BJ263" s="123">
        <f>BK256/BK248</f>
        <v>0.99936924435473684</v>
      </c>
      <c r="BK263" s="124" t="s">
        <v>256</v>
      </c>
      <c r="BL263" s="123"/>
      <c r="BM263" s="123"/>
      <c r="BN263" s="123"/>
      <c r="BO263" s="123"/>
      <c r="BP263" s="123"/>
      <c r="BQ263" s="123"/>
      <c r="BR263" s="123"/>
      <c r="BS263" s="98"/>
      <c r="FA263" s="130"/>
      <c r="FB263" s="123"/>
      <c r="FC263" s="123"/>
      <c r="FD263" s="123" t="s">
        <v>444</v>
      </c>
      <c r="FE263" s="123"/>
      <c r="FF263" s="123"/>
      <c r="FG263" s="123"/>
      <c r="FH263" s="123"/>
      <c r="FI263" s="123"/>
      <c r="FJ263" s="123"/>
      <c r="FK263" s="123"/>
      <c r="FL263" s="98"/>
    </row>
    <row r="264" spans="1:168">
      <c r="A264" s="130"/>
      <c r="G264" s="124" t="s">
        <v>438</v>
      </c>
      <c r="L264" s="98"/>
      <c r="Y264" s="124" t="s">
        <v>438</v>
      </c>
      <c r="AD264" s="98"/>
      <c r="BG264" s="130" t="s">
        <v>170</v>
      </c>
      <c r="BH264" s="123">
        <f>VAR(BH260:BH262)</f>
        <v>4.8247893290048649E-9</v>
      </c>
      <c r="BI264" s="123" t="s">
        <v>170</v>
      </c>
      <c r="BJ264" s="123">
        <f>VAR(BJ260:BJ262)</f>
        <v>6.4065168130627028E-9</v>
      </c>
      <c r="BK264" s="123">
        <f>VAR(BM255:BM257)</f>
        <v>2.5732240995389311E-5</v>
      </c>
      <c r="BL264" s="124">
        <f>STDEV(BM255:BM257)/BM259</f>
        <v>1.0099255399929029E-2</v>
      </c>
      <c r="BM264" s="124" t="s">
        <v>449</v>
      </c>
      <c r="BN264" s="123"/>
      <c r="BO264" s="123"/>
      <c r="BP264" s="123"/>
      <c r="BQ264" s="123"/>
      <c r="BR264" s="123"/>
      <c r="BS264" s="98"/>
      <c r="FA264" s="130"/>
      <c r="FB264" s="123">
        <f>FB257</f>
        <v>0.9990247396130959</v>
      </c>
      <c r="FC264" s="123"/>
      <c r="FD264" s="123">
        <f>ABS(FC252-FB253)/FC252</f>
        <v>1.1803837893959589E-3</v>
      </c>
      <c r="FE264" s="123" t="s">
        <v>446</v>
      </c>
      <c r="FF264" s="123"/>
      <c r="FG264" s="123"/>
      <c r="FH264" s="123"/>
      <c r="FI264" s="123"/>
      <c r="FJ264" s="123"/>
      <c r="FK264" s="123"/>
      <c r="FL264" s="98"/>
    </row>
    <row r="265" spans="1:168">
      <c r="A265" s="130"/>
      <c r="D265" s="123" t="s">
        <v>444</v>
      </c>
      <c r="L265" s="98"/>
      <c r="V265" s="123" t="s">
        <v>444</v>
      </c>
      <c r="AD265" s="98"/>
      <c r="BG265" s="130"/>
      <c r="BH265" s="123"/>
      <c r="BI265" s="123"/>
      <c r="BJ265" s="123"/>
      <c r="BK265" s="123"/>
      <c r="BL265" s="123"/>
      <c r="BM265" s="124" t="s">
        <v>438</v>
      </c>
      <c r="BN265" s="123"/>
      <c r="BO265" s="123"/>
      <c r="BP265" s="123"/>
      <c r="BQ265" s="123"/>
      <c r="BR265" s="123"/>
      <c r="BS265" s="98"/>
      <c r="FA265" s="130"/>
      <c r="FB265" s="123">
        <f t="shared" ref="FB265:FB266" si="722">FB258</f>
        <v>0.99899623631960255</v>
      </c>
      <c r="FC265" s="123"/>
      <c r="FD265" s="123">
        <f>ABS((FC244-FB245)/FC244)</f>
        <v>1.2587523980358614E-3</v>
      </c>
      <c r="FE265" s="123" t="s">
        <v>445</v>
      </c>
      <c r="FF265" s="123"/>
      <c r="FG265" s="123"/>
      <c r="FH265" s="123"/>
      <c r="FI265" s="123"/>
      <c r="FJ265" s="123"/>
      <c r="FK265" s="123"/>
      <c r="FL265" s="98"/>
    </row>
    <row r="266" spans="1:168">
      <c r="A266" s="130"/>
      <c r="B266" s="123">
        <f>B259</f>
        <v>1.0032827060389689</v>
      </c>
      <c r="D266" s="123">
        <f>ABS(C254-B255)/C254</f>
        <v>4.9867661946406266E-2</v>
      </c>
      <c r="E266" s="123" t="s">
        <v>446</v>
      </c>
      <c r="L266" s="98"/>
      <c r="T266" s="123">
        <f>T259</f>
        <v>0.99657168892938908</v>
      </c>
      <c r="V266" s="123">
        <f>ABS(U254-T255)/U254</f>
        <v>0.12871137992364343</v>
      </c>
      <c r="W266" s="123" t="s">
        <v>446</v>
      </c>
      <c r="AD266" s="98"/>
      <c r="BG266" s="130"/>
      <c r="BH266" s="123"/>
      <c r="BI266" s="123"/>
      <c r="BJ266" s="123" t="s">
        <v>444</v>
      </c>
      <c r="BK266" s="123"/>
      <c r="BL266" s="123"/>
      <c r="BM266" s="123"/>
      <c r="BN266" s="123"/>
      <c r="BO266" s="123"/>
      <c r="BP266" s="123"/>
      <c r="BQ266" s="123"/>
      <c r="BR266" s="123"/>
      <c r="BS266" s="98"/>
      <c r="FA266" s="130"/>
      <c r="FB266" s="123">
        <f t="shared" si="722"/>
        <v>0.99905675367747737</v>
      </c>
      <c r="FC266" s="123"/>
      <c r="FD266" s="123"/>
      <c r="FE266" s="123"/>
      <c r="FF266" s="123"/>
      <c r="FG266" s="123"/>
      <c r="FH266" s="123"/>
      <c r="FI266" s="123"/>
      <c r="FJ266" s="123"/>
      <c r="FK266" s="123"/>
      <c r="FL266" s="98"/>
    </row>
    <row r="267" spans="1:168">
      <c r="A267" s="130"/>
      <c r="B267" s="123">
        <f t="shared" ref="B267:B268" si="723">B260</f>
        <v>1.0078272272764528</v>
      </c>
      <c r="D267" s="123">
        <f>ABS((C246-B247)/C246)</f>
        <v>5.4713404506245573E-2</v>
      </c>
      <c r="E267" s="123" t="s">
        <v>445</v>
      </c>
      <c r="L267" s="98"/>
      <c r="T267" s="123">
        <f t="shared" ref="T267:T268" si="724">T260</f>
        <v>0.9964454309723153</v>
      </c>
      <c r="V267" s="123">
        <f>ABS((U246-T247)/U246)</f>
        <v>0.15696821226537896</v>
      </c>
      <c r="W267" s="123" t="s">
        <v>445</v>
      </c>
      <c r="AD267" s="98"/>
      <c r="BG267" s="130"/>
      <c r="BH267" s="123">
        <f>BH260</f>
        <v>0.9996039315484454</v>
      </c>
      <c r="BI267" s="123"/>
      <c r="BJ267" s="123">
        <f>ABS(BI255-BH256)/BI255</f>
        <v>1.7888392877540875E-3</v>
      </c>
      <c r="BK267" s="123" t="s">
        <v>446</v>
      </c>
      <c r="BL267" s="123"/>
      <c r="BM267" s="123"/>
      <c r="BN267" s="123"/>
      <c r="BO267" s="123"/>
      <c r="BP267" s="123"/>
      <c r="BQ267" s="123"/>
      <c r="BR267" s="123"/>
      <c r="BS267" s="98"/>
      <c r="FA267" s="130"/>
      <c r="FB267" s="123">
        <f>FD257</f>
        <v>0.99891785385313281</v>
      </c>
      <c r="FC267" s="123"/>
      <c r="FD267" s="123"/>
      <c r="FE267" s="123"/>
      <c r="FF267" s="123"/>
      <c r="FG267" s="123"/>
      <c r="FH267" s="123"/>
      <c r="FI267" s="123"/>
      <c r="FJ267" s="123"/>
      <c r="FK267" s="123"/>
      <c r="FL267" s="98"/>
    </row>
    <row r="268" spans="1:168">
      <c r="A268" s="130"/>
      <c r="B268" s="123">
        <f t="shared" si="723"/>
        <v>1.0132455569813843</v>
      </c>
      <c r="L268" s="98"/>
      <c r="T268" s="123">
        <f t="shared" si="724"/>
        <v>0.99668376466509945</v>
      </c>
      <c r="AD268" s="98"/>
      <c r="BG268" s="130"/>
      <c r="BH268" s="123">
        <f t="shared" ref="BH268:BH269" si="725">BH261</f>
        <v>0.99966138844465202</v>
      </c>
      <c r="BI268" s="123"/>
      <c r="BJ268" s="123">
        <f>ABS((BI247-BH248)/BI247)</f>
        <v>2.0457788686568949E-3</v>
      </c>
      <c r="BK268" s="123" t="s">
        <v>445</v>
      </c>
      <c r="BL268" s="123"/>
      <c r="BM268" s="123"/>
      <c r="BN268" s="123"/>
      <c r="BO268" s="123"/>
      <c r="BP268" s="123"/>
      <c r="BQ268" s="123"/>
      <c r="BR268" s="123"/>
      <c r="BS268" s="98"/>
      <c r="FA268" s="130"/>
      <c r="FB268" s="123">
        <f t="shared" ref="FB268:FB269" si="726">FD258</f>
        <v>0.99891398441803725</v>
      </c>
      <c r="FC268" s="123"/>
      <c r="FD268" s="123"/>
      <c r="FE268" s="123"/>
      <c r="FF268" s="123"/>
      <c r="FG268" s="123"/>
      <c r="FH268" s="123"/>
      <c r="FI268" s="123"/>
      <c r="FJ268" s="123"/>
      <c r="FK268" s="123"/>
      <c r="FL268" s="98"/>
    </row>
    <row r="269" spans="1:168">
      <c r="A269" s="130"/>
      <c r="B269" s="123">
        <f>D259</f>
        <v>1.0124789290720146</v>
      </c>
      <c r="L269" s="98"/>
      <c r="T269" s="123">
        <f>V259</f>
        <v>1.0213910388411558</v>
      </c>
      <c r="AD269" s="98"/>
      <c r="BG269" s="130"/>
      <c r="BH269" s="123">
        <f t="shared" si="725"/>
        <v>0.99974219719021251</v>
      </c>
      <c r="BI269" s="123"/>
      <c r="BJ269" s="123"/>
      <c r="BK269" s="123"/>
      <c r="BL269" s="123"/>
      <c r="BM269" s="123"/>
      <c r="BN269" s="123"/>
      <c r="BO269" s="123"/>
      <c r="BP269" s="123"/>
      <c r="BQ269" s="123"/>
      <c r="BR269" s="123"/>
      <c r="BS269" s="98"/>
      <c r="FA269" s="130"/>
      <c r="FB269" s="123">
        <f t="shared" si="726"/>
        <v>0.99891571727016248</v>
      </c>
      <c r="FC269" s="123"/>
      <c r="FD269" s="123"/>
      <c r="FE269" s="123"/>
      <c r="FF269" s="123"/>
      <c r="FG269" s="123"/>
      <c r="FH269" s="123"/>
      <c r="FI269" s="123"/>
      <c r="FJ269" s="123"/>
      <c r="FK269" s="123"/>
      <c r="FL269" s="98"/>
    </row>
    <row r="270" spans="1:168" ht="15.75" thickBot="1">
      <c r="A270" s="130"/>
      <c r="B270" s="123">
        <f t="shared" ref="B270:B271" si="727">D260</f>
        <v>1.0197628961811258</v>
      </c>
      <c r="L270" s="98"/>
      <c r="T270" s="123">
        <f t="shared" ref="T270:T271" si="728">V260</f>
        <v>1.0209210127478825</v>
      </c>
      <c r="AD270" s="98"/>
      <c r="BG270" s="130"/>
      <c r="BH270" s="123">
        <f>BJ260</f>
        <v>0.99940407557508992</v>
      </c>
      <c r="BI270" s="123"/>
      <c r="BJ270" s="123"/>
      <c r="BK270" s="123"/>
      <c r="BL270" s="123"/>
      <c r="BM270" s="123"/>
      <c r="BN270" s="123"/>
      <c r="BO270" s="123"/>
      <c r="BP270" s="123"/>
      <c r="BQ270" s="123"/>
      <c r="BR270" s="123"/>
      <c r="BS270" s="98"/>
      <c r="FA270" s="131" t="s">
        <v>170</v>
      </c>
      <c r="FB270" s="126">
        <f>VAR(FB264:FB269)</f>
        <v>4.0019791214558715E-9</v>
      </c>
      <c r="FC270" s="126"/>
      <c r="FD270" s="126"/>
      <c r="FE270" s="126"/>
      <c r="FF270" s="126"/>
      <c r="FG270" s="126"/>
      <c r="FH270" s="126"/>
      <c r="FI270" s="126"/>
      <c r="FJ270" s="126"/>
      <c r="FK270" s="126"/>
      <c r="FL270" s="127"/>
    </row>
    <row r="271" spans="1:168" ht="15.75" thickTop="1">
      <c r="A271" s="130"/>
      <c r="B271" s="123">
        <f t="shared" si="727"/>
        <v>1.018137823136972</v>
      </c>
      <c r="L271" s="98"/>
      <c r="T271" s="123">
        <f t="shared" si="728"/>
        <v>1.0211655225117451</v>
      </c>
      <c r="AD271" s="98"/>
      <c r="BG271" s="130"/>
      <c r="BH271" s="123">
        <f t="shared" ref="BH271:BH272" si="729">BJ261</f>
        <v>0.99937292587551385</v>
      </c>
      <c r="BI271" s="123"/>
      <c r="BJ271" s="123"/>
      <c r="BK271" s="123"/>
      <c r="BL271" s="123"/>
      <c r="BM271" s="123"/>
      <c r="BN271" s="123"/>
      <c r="BO271" s="123"/>
      <c r="BP271" s="123"/>
      <c r="BQ271" s="123"/>
      <c r="BR271" s="123"/>
      <c r="BS271" s="98"/>
    </row>
    <row r="272" spans="1:168" ht="15.75" thickBot="1">
      <c r="A272" s="131" t="s">
        <v>170</v>
      </c>
      <c r="B272" s="126">
        <f>VAR(B266:B271)</f>
        <v>3.8374526165775808E-5</v>
      </c>
      <c r="C272" s="126"/>
      <c r="D272" s="126"/>
      <c r="E272" s="126"/>
      <c r="F272" s="126"/>
      <c r="G272" s="126"/>
      <c r="H272" s="126"/>
      <c r="I272" s="126"/>
      <c r="J272" s="126"/>
      <c r="K272" s="126"/>
      <c r="L272" s="127"/>
      <c r="S272" s="131" t="s">
        <v>170</v>
      </c>
      <c r="T272" s="126">
        <f>VAR(T266:T271)</f>
        <v>1.8146112209705274E-4</v>
      </c>
      <c r="U272" s="126"/>
      <c r="V272" s="126"/>
      <c r="W272" s="126"/>
      <c r="X272" s="126"/>
      <c r="Y272" s="126"/>
      <c r="Z272" s="126"/>
      <c r="AA272" s="126"/>
      <c r="AB272" s="126"/>
      <c r="AC272" s="126"/>
      <c r="AD272" s="127"/>
      <c r="BG272" s="130"/>
      <c r="BH272" s="123">
        <f t="shared" si="729"/>
        <v>0.99925251608425214</v>
      </c>
      <c r="BI272" s="123"/>
      <c r="BJ272" s="123"/>
      <c r="BK272" s="123"/>
      <c r="BL272" s="123"/>
      <c r="BM272" s="123"/>
      <c r="BN272" s="123"/>
      <c r="BO272" s="123"/>
      <c r="BP272" s="123"/>
      <c r="BQ272" s="123"/>
      <c r="BR272" s="123"/>
      <c r="BS272" s="98"/>
    </row>
    <row r="273" spans="1:71" ht="16.5" thickTop="1" thickBot="1">
      <c r="A273" s="128"/>
      <c r="B273" s="121"/>
      <c r="C273" s="121"/>
      <c r="D273" s="121"/>
      <c r="E273" s="121"/>
      <c r="F273" s="133" t="s">
        <v>239</v>
      </c>
      <c r="G273" s="121"/>
      <c r="H273" s="121"/>
      <c r="I273" s="124" t="s">
        <v>187</v>
      </c>
      <c r="J273" s="121"/>
      <c r="K273" s="121"/>
      <c r="L273" s="122"/>
      <c r="S273" s="128"/>
      <c r="T273" s="121"/>
      <c r="U273" s="121"/>
      <c r="V273" s="121"/>
      <c r="W273" s="121"/>
      <c r="X273" s="133" t="s">
        <v>239</v>
      </c>
      <c r="Y273" s="121"/>
      <c r="Z273" s="121"/>
      <c r="AA273" s="129" t="s">
        <v>223</v>
      </c>
      <c r="AB273" s="121"/>
      <c r="AC273" s="121"/>
      <c r="AD273" s="122"/>
      <c r="BG273" s="131" t="s">
        <v>170</v>
      </c>
      <c r="BH273" s="126">
        <f>VAR(BH267:BH272)</f>
        <v>3.6375299536033246E-8</v>
      </c>
      <c r="BI273" s="126"/>
      <c r="BJ273" s="126"/>
      <c r="BK273" s="126"/>
      <c r="BL273" s="126"/>
      <c r="BM273" s="126"/>
      <c r="BN273" s="126"/>
      <c r="BO273" s="126"/>
      <c r="BP273" s="126"/>
      <c r="BQ273" s="126"/>
      <c r="BR273" s="126"/>
      <c r="BS273" s="127"/>
    </row>
    <row r="274" spans="1:71" ht="16.5" thickTop="1" thickBot="1">
      <c r="A274" s="130" t="s">
        <v>167</v>
      </c>
      <c r="H274" s="123" t="s">
        <v>168</v>
      </c>
      <c r="L274" s="98"/>
      <c r="S274" s="130" t="s">
        <v>167</v>
      </c>
      <c r="Z274" s="123" t="s">
        <v>168</v>
      </c>
      <c r="AD274" s="98"/>
      <c r="BG274" s="128"/>
      <c r="BH274" s="121"/>
      <c r="BI274" s="121"/>
      <c r="BJ274" s="121"/>
      <c r="BK274" s="121"/>
      <c r="BL274" s="133" t="s">
        <v>239</v>
      </c>
      <c r="BM274" s="121"/>
      <c r="BN274" s="121"/>
      <c r="BO274" s="124" t="s">
        <v>197</v>
      </c>
      <c r="BP274" s="121"/>
      <c r="BQ274" s="121"/>
      <c r="BR274" s="121"/>
      <c r="BS274" s="122"/>
    </row>
    <row r="275" spans="1:71" ht="16.5" thickTop="1" thickBot="1">
      <c r="A275" s="1"/>
      <c r="B275" s="2" t="s">
        <v>0</v>
      </c>
      <c r="C275" s="2" t="s">
        <v>1</v>
      </c>
      <c r="D275" s="2" t="s">
        <v>2</v>
      </c>
      <c r="E275" s="3" t="s">
        <v>6</v>
      </c>
      <c r="F275" s="103" t="s">
        <v>70</v>
      </c>
      <c r="G275" s="103" t="s">
        <v>172</v>
      </c>
      <c r="H275" s="123" t="s">
        <v>3</v>
      </c>
      <c r="I275" s="123">
        <v>6</v>
      </c>
      <c r="K275" s="123" t="s">
        <v>19</v>
      </c>
      <c r="L275" s="98">
        <v>0.51344599999999996</v>
      </c>
      <c r="S275" s="1"/>
      <c r="T275" s="2" t="s">
        <v>0</v>
      </c>
      <c r="U275" s="2" t="s">
        <v>1</v>
      </c>
      <c r="V275" s="2" t="s">
        <v>2</v>
      </c>
      <c r="W275" s="3" t="s">
        <v>6</v>
      </c>
      <c r="X275" s="103" t="s">
        <v>70</v>
      </c>
      <c r="Y275" s="103" t="s">
        <v>172</v>
      </c>
      <c r="Z275" s="123" t="s">
        <v>3</v>
      </c>
      <c r="AA275" s="123">
        <v>12</v>
      </c>
      <c r="AC275" s="123" t="s">
        <v>19</v>
      </c>
      <c r="AD275" s="98">
        <v>0.123838</v>
      </c>
      <c r="BG275" s="130" t="s">
        <v>167</v>
      </c>
      <c r="BH275" s="123"/>
      <c r="BI275" s="123"/>
      <c r="BJ275" s="123"/>
      <c r="BK275" s="123"/>
      <c r="BL275" s="123"/>
      <c r="BM275" s="123"/>
      <c r="BN275" s="123" t="s">
        <v>168</v>
      </c>
      <c r="BO275" s="123"/>
      <c r="BP275" s="123"/>
      <c r="BQ275" s="123"/>
      <c r="BR275" s="123"/>
      <c r="BS275" s="98"/>
    </row>
    <row r="276" spans="1:71" ht="15.75" thickTop="1">
      <c r="A276" s="4" t="s">
        <v>3</v>
      </c>
      <c r="B276" s="100">
        <v>112.548</v>
      </c>
      <c r="C276" s="5">
        <v>212.596</v>
      </c>
      <c r="D276" s="5">
        <v>163.73099999999999</v>
      </c>
      <c r="E276" s="104">
        <f>SUM(B276:D276)</f>
        <v>488.875</v>
      </c>
      <c r="F276" s="123">
        <f>D276/C276</f>
        <v>0.7701508965361531</v>
      </c>
      <c r="G276" s="123">
        <f>B276/C276</f>
        <v>0.52939848350862673</v>
      </c>
      <c r="H276" s="123" t="s">
        <v>4</v>
      </c>
      <c r="I276" s="123">
        <v>12</v>
      </c>
      <c r="L276" s="98"/>
      <c r="S276" s="4" t="s">
        <v>3</v>
      </c>
      <c r="T276" s="100">
        <v>3525.07</v>
      </c>
      <c r="U276" s="5">
        <v>2973.93</v>
      </c>
      <c r="V276" s="5">
        <v>649.38300000000004</v>
      </c>
      <c r="W276" s="104">
        <f>SUM(T276:V276)</f>
        <v>7148.3829999999998</v>
      </c>
      <c r="X276" s="123">
        <f>V276/U276</f>
        <v>0.21835853567501592</v>
      </c>
      <c r="Y276" s="123">
        <f>T276/U276</f>
        <v>1.1853237971303967</v>
      </c>
      <c r="Z276" s="123" t="s">
        <v>4</v>
      </c>
      <c r="AA276" s="123">
        <v>20</v>
      </c>
      <c r="AD276" s="98"/>
      <c r="BG276" s="1"/>
      <c r="BH276" s="2" t="s">
        <v>0</v>
      </c>
      <c r="BI276" s="2" t="s">
        <v>1</v>
      </c>
      <c r="BJ276" s="2" t="s">
        <v>2</v>
      </c>
      <c r="BK276" s="3" t="s">
        <v>6</v>
      </c>
      <c r="BL276" s="103" t="s">
        <v>70</v>
      </c>
      <c r="BM276" s="103" t="s">
        <v>172</v>
      </c>
      <c r="BN276" s="123" t="s">
        <v>3</v>
      </c>
      <c r="BO276" s="123">
        <v>30</v>
      </c>
      <c r="BP276" s="123"/>
      <c r="BQ276" s="123" t="s">
        <v>19</v>
      </c>
      <c r="BR276" s="123">
        <v>0.102274</v>
      </c>
      <c r="BS276" s="98"/>
    </row>
    <row r="277" spans="1:71">
      <c r="A277" s="4" t="s">
        <v>4</v>
      </c>
      <c r="B277" s="5">
        <v>217.49700000000001</v>
      </c>
      <c r="C277" s="5">
        <v>447.7</v>
      </c>
      <c r="D277" s="5">
        <v>344.79700000000003</v>
      </c>
      <c r="E277" s="106">
        <f t="shared" ref="E277:E279" si="730">SUM(B277:D277)</f>
        <v>1009.994</v>
      </c>
      <c r="F277" s="123">
        <f t="shared" ref="F277:F279" si="731">D277/C277</f>
        <v>0.77015188742461482</v>
      </c>
      <c r="G277" s="123">
        <f t="shared" ref="G277:G279" si="732">B277/C277</f>
        <v>0.48580969399151219</v>
      </c>
      <c r="H277" s="123" t="s">
        <v>5</v>
      </c>
      <c r="I277" s="123">
        <v>4</v>
      </c>
      <c r="L277" s="98"/>
      <c r="S277" s="4" t="s">
        <v>4</v>
      </c>
      <c r="T277" s="5">
        <v>3123.01</v>
      </c>
      <c r="U277" s="5">
        <v>5883.81</v>
      </c>
      <c r="V277" s="5">
        <v>1284.78</v>
      </c>
      <c r="W277" s="106">
        <f t="shared" ref="W277:W279" si="733">SUM(T277:V277)</f>
        <v>10291.6</v>
      </c>
      <c r="X277" s="123">
        <f t="shared" ref="X277:X279" si="734">V277/U277</f>
        <v>0.21835851259642985</v>
      </c>
      <c r="Y277" s="123">
        <f t="shared" ref="Y277:Y279" si="735">T277/U277</f>
        <v>0.5307802257380847</v>
      </c>
      <c r="Z277" s="123" t="s">
        <v>5</v>
      </c>
      <c r="AA277" s="123">
        <v>8</v>
      </c>
      <c r="AD277" s="98"/>
      <c r="BG277" s="4" t="s">
        <v>3</v>
      </c>
      <c r="BH277" s="100">
        <v>2280.62</v>
      </c>
      <c r="BI277" s="5">
        <v>4475.82</v>
      </c>
      <c r="BJ277" s="5">
        <v>687.56299999999999</v>
      </c>
      <c r="BK277" s="104">
        <f>SUM(BH277:BJ277)</f>
        <v>7444.0029999999997</v>
      </c>
      <c r="BL277" s="123">
        <f>BJ277/BI277</f>
        <v>0.15361721427581987</v>
      </c>
      <c r="BM277" s="123">
        <f>BH277/BI277</f>
        <v>0.50954238552935549</v>
      </c>
      <c r="BN277" s="123" t="s">
        <v>4</v>
      </c>
      <c r="BO277" s="123">
        <v>60</v>
      </c>
      <c r="BP277" s="123"/>
      <c r="BQ277" s="123"/>
      <c r="BR277" s="123"/>
      <c r="BS277" s="98"/>
    </row>
    <row r="278" spans="1:71">
      <c r="A278" s="4" t="s">
        <v>5</v>
      </c>
      <c r="B278" s="5">
        <v>158.83000000000001</v>
      </c>
      <c r="C278" s="5">
        <v>349.69799999999998</v>
      </c>
      <c r="D278" s="5">
        <v>269.32</v>
      </c>
      <c r="E278" s="108">
        <f t="shared" si="730"/>
        <v>777.84799999999996</v>
      </c>
      <c r="F278" s="123">
        <f t="shared" si="731"/>
        <v>0.77015024392475795</v>
      </c>
      <c r="G278" s="123">
        <f t="shared" si="732"/>
        <v>0.45419190272749638</v>
      </c>
      <c r="L278" s="98"/>
      <c r="S278" s="4" t="s">
        <v>5</v>
      </c>
      <c r="T278" s="5">
        <v>500.30099999999999</v>
      </c>
      <c r="U278" s="5">
        <v>1433.86</v>
      </c>
      <c r="V278" s="5">
        <v>313.09500000000003</v>
      </c>
      <c r="W278" s="108">
        <f t="shared" si="733"/>
        <v>2247.2559999999999</v>
      </c>
      <c r="X278" s="123">
        <f t="shared" si="734"/>
        <v>0.21835813817248551</v>
      </c>
      <c r="Y278" s="123">
        <f t="shared" si="735"/>
        <v>0.3489190018551323</v>
      </c>
      <c r="AD278" s="98"/>
      <c r="BG278" s="4" t="s">
        <v>4</v>
      </c>
      <c r="BH278" s="5">
        <v>4468.2299999999996</v>
      </c>
      <c r="BI278" s="5">
        <v>8963.5499999999993</v>
      </c>
      <c r="BJ278" s="5">
        <v>1376.95</v>
      </c>
      <c r="BK278" s="106">
        <f t="shared" ref="BK278:BK280" si="736">SUM(BH278:BJ278)</f>
        <v>14808.73</v>
      </c>
      <c r="BL278" s="123">
        <f t="shared" ref="BL278:BL280" si="737">BJ278/BI278</f>
        <v>0.15361659164058886</v>
      </c>
      <c r="BM278" s="123">
        <f t="shared" ref="BM278:BM280" si="738">BH278/BI278</f>
        <v>0.4984888799638536</v>
      </c>
      <c r="BN278" s="123" t="s">
        <v>5</v>
      </c>
      <c r="BO278" s="123">
        <v>25</v>
      </c>
      <c r="BP278" s="123"/>
      <c r="BQ278" s="123"/>
      <c r="BR278" s="123"/>
      <c r="BS278" s="98"/>
    </row>
    <row r="279" spans="1:71" ht="15.75" thickBot="1">
      <c r="A279" s="7"/>
      <c r="B279" s="105">
        <f>SUM(B276:B278)</f>
        <v>488.875</v>
      </c>
      <c r="C279" s="107">
        <f>SUM(C276:C278)</f>
        <v>1009.994</v>
      </c>
      <c r="D279" s="109">
        <f>SUM(D276:D278)</f>
        <v>777.84799999999996</v>
      </c>
      <c r="E279" s="101">
        <f t="shared" si="730"/>
        <v>2276.7170000000001</v>
      </c>
      <c r="F279" s="123">
        <f t="shared" si="731"/>
        <v>0.77015110980857304</v>
      </c>
      <c r="G279" s="123">
        <f t="shared" si="732"/>
        <v>0.48403752893581542</v>
      </c>
      <c r="L279" s="98"/>
      <c r="S279" s="7"/>
      <c r="T279" s="105">
        <f>SUM(T276:T278)</f>
        <v>7148.3810000000003</v>
      </c>
      <c r="U279" s="107">
        <f>SUM(U276:U278)</f>
        <v>10291.6</v>
      </c>
      <c r="V279" s="109">
        <f>SUM(V276:V278)</f>
        <v>2247.2579999999998</v>
      </c>
      <c r="W279" s="101">
        <f t="shared" si="733"/>
        <v>19687.239000000001</v>
      </c>
      <c r="X279" s="123">
        <f t="shared" si="734"/>
        <v>0.218358467099382</v>
      </c>
      <c r="Y279" s="123">
        <f t="shared" si="735"/>
        <v>0.69458402969411948</v>
      </c>
      <c r="AD279" s="98"/>
      <c r="BG279" s="4" t="s">
        <v>5</v>
      </c>
      <c r="BH279" s="5">
        <v>695.154</v>
      </c>
      <c r="BI279" s="5">
        <v>1369.36</v>
      </c>
      <c r="BJ279" s="5">
        <v>210.357</v>
      </c>
      <c r="BK279" s="108">
        <f t="shared" si="736"/>
        <v>2274.8710000000001</v>
      </c>
      <c r="BL279" s="123">
        <f t="shared" si="737"/>
        <v>0.1536170181690717</v>
      </c>
      <c r="BM279" s="123">
        <f t="shared" si="738"/>
        <v>0.50764882864988026</v>
      </c>
      <c r="BN279" s="123"/>
      <c r="BO279" s="123"/>
      <c r="BP279" s="123"/>
      <c r="BQ279" s="123"/>
      <c r="BR279" s="123"/>
      <c r="BS279" s="98"/>
    </row>
    <row r="280" spans="1:71" ht="16.5" thickTop="1" thickBot="1">
      <c r="A280" s="130"/>
      <c r="F280" s="124" t="s">
        <v>420</v>
      </c>
      <c r="G280" s="103">
        <f>AVERAGE(G276:G278)</f>
        <v>0.48980002674254508</v>
      </c>
      <c r="L280" s="98"/>
      <c r="X280" s="124" t="s">
        <v>420</v>
      </c>
      <c r="Y280" s="103">
        <f>AVERAGE(Y276:Y278)</f>
        <v>0.68834100824120459</v>
      </c>
      <c r="AD280" s="98"/>
      <c r="BG280" s="7"/>
      <c r="BH280" s="105">
        <f>SUM(BH277:BH279)</f>
        <v>7444.003999999999</v>
      </c>
      <c r="BI280" s="107">
        <f>SUM(BI277:BI279)</f>
        <v>14808.73</v>
      </c>
      <c r="BJ280" s="109">
        <f>SUM(BJ277:BJ279)</f>
        <v>2274.87</v>
      </c>
      <c r="BK280" s="101">
        <f t="shared" si="736"/>
        <v>24527.603999999996</v>
      </c>
      <c r="BL280" s="123">
        <f t="shared" si="737"/>
        <v>0.1536168192680939</v>
      </c>
      <c r="BM280" s="123">
        <f t="shared" si="738"/>
        <v>0.50267673190070983</v>
      </c>
      <c r="BN280" s="123"/>
      <c r="BO280" s="123"/>
      <c r="BP280" s="123"/>
      <c r="BQ280" s="123"/>
      <c r="BR280" s="123"/>
      <c r="BS280" s="98"/>
    </row>
    <row r="281" spans="1:71" ht="15.75" thickTop="1">
      <c r="A281" s="130"/>
      <c r="L281" s="98"/>
      <c r="AD281" s="98"/>
      <c r="BG281" s="130"/>
      <c r="BH281" s="123"/>
      <c r="BI281" s="123"/>
      <c r="BJ281" s="123"/>
      <c r="BK281" s="123"/>
      <c r="BL281" s="124" t="s">
        <v>420</v>
      </c>
      <c r="BM281" s="103">
        <f>AVERAGE(BM277:BM279)</f>
        <v>0.50522669804769649</v>
      </c>
      <c r="BN281" s="123"/>
      <c r="BO281" s="123"/>
      <c r="BP281" s="123"/>
      <c r="BQ281" s="123"/>
      <c r="BR281" s="123"/>
      <c r="BS281" s="98"/>
    </row>
    <row r="282" spans="1:71" ht="15.75" thickBot="1">
      <c r="A282" s="140" t="s">
        <v>254</v>
      </c>
      <c r="J282" s="124" t="s">
        <v>218</v>
      </c>
      <c r="L282" s="98"/>
      <c r="S282" s="140" t="s">
        <v>254</v>
      </c>
      <c r="AB282" s="124" t="s">
        <v>218</v>
      </c>
      <c r="AD282" s="98"/>
      <c r="BG282" s="130"/>
      <c r="BH282" s="123"/>
      <c r="BI282" s="123"/>
      <c r="BJ282" s="123"/>
      <c r="BK282" s="123"/>
      <c r="BL282" s="123"/>
      <c r="BM282" s="123"/>
      <c r="BN282" s="123"/>
      <c r="BO282" s="123"/>
      <c r="BP282" s="123"/>
      <c r="BQ282" s="123"/>
      <c r="BR282" s="123"/>
      <c r="BS282" s="98"/>
    </row>
    <row r="283" spans="1:71" ht="16.5" thickTop="1" thickBot="1">
      <c r="A283" s="1"/>
      <c r="B283" s="2" t="s">
        <v>8</v>
      </c>
      <c r="C283" s="2" t="s">
        <v>9</v>
      </c>
      <c r="D283" s="2" t="s">
        <v>10</v>
      </c>
      <c r="E283" s="3" t="s">
        <v>11</v>
      </c>
      <c r="F283" s="103" t="s">
        <v>16</v>
      </c>
      <c r="G283" s="103" t="s">
        <v>172</v>
      </c>
      <c r="H283" s="124" t="s">
        <v>171</v>
      </c>
      <c r="J283" s="123">
        <v>0.08</v>
      </c>
      <c r="K283" s="103" t="s">
        <v>212</v>
      </c>
      <c r="L283" s="98" t="s">
        <v>240</v>
      </c>
      <c r="S283" s="1"/>
      <c r="T283" s="2" t="s">
        <v>8</v>
      </c>
      <c r="U283" s="2" t="s">
        <v>9</v>
      </c>
      <c r="V283" s="2" t="s">
        <v>10</v>
      </c>
      <c r="W283" s="3" t="s">
        <v>11</v>
      </c>
      <c r="X283" s="103" t="s">
        <v>16</v>
      </c>
      <c r="Y283" s="103" t="s">
        <v>172</v>
      </c>
      <c r="Z283" s="124" t="s">
        <v>171</v>
      </c>
      <c r="AB283" s="123">
        <v>7.9000000000000001E-2</v>
      </c>
      <c r="AC283" s="103" t="s">
        <v>212</v>
      </c>
      <c r="AD283" s="98"/>
      <c r="BG283" s="140" t="s">
        <v>254</v>
      </c>
      <c r="BH283" s="123"/>
      <c r="BI283" s="123"/>
      <c r="BJ283" s="123"/>
      <c r="BK283" s="123"/>
      <c r="BL283" s="123"/>
      <c r="BM283" s="123"/>
      <c r="BN283" s="123"/>
      <c r="BO283" s="123"/>
      <c r="BP283" s="123"/>
      <c r="BQ283" s="124" t="s">
        <v>218</v>
      </c>
      <c r="BR283" s="123"/>
      <c r="BS283" s="98"/>
    </row>
    <row r="284" spans="1:71" ht="15.75" thickTop="1">
      <c r="A284" s="4" t="s">
        <v>3</v>
      </c>
      <c r="B284" s="100">
        <v>115.08199999999999</v>
      </c>
      <c r="C284" s="5">
        <v>214.21700000000001</v>
      </c>
      <c r="D284" s="5">
        <v>169.077</v>
      </c>
      <c r="E284" s="110">
        <f>SUM(B284:D284)</f>
        <v>498.37599999999998</v>
      </c>
      <c r="F284" s="123">
        <f>D284/(B284+C284)</f>
        <v>0.51344522758951594</v>
      </c>
      <c r="G284" s="123">
        <f>B284/C284</f>
        <v>0.53722160239383421</v>
      </c>
      <c r="H284" s="125">
        <f>ABS((E287-E279)/E279)</f>
        <v>7.0663152249487915E-3</v>
      </c>
      <c r="J284" s="123">
        <f>J283</f>
        <v>0.08</v>
      </c>
      <c r="K284" s="123" t="s">
        <v>213</v>
      </c>
      <c r="L284" s="98" t="s">
        <v>241</v>
      </c>
      <c r="S284" s="4" t="s">
        <v>3</v>
      </c>
      <c r="T284" s="100">
        <v>3771.31</v>
      </c>
      <c r="U284" s="5">
        <v>3033.94</v>
      </c>
      <c r="V284" s="5">
        <v>842.74900000000002</v>
      </c>
      <c r="W284" s="110">
        <f>SUM(T284:V284)</f>
        <v>7647.9989999999998</v>
      </c>
      <c r="X284" s="123">
        <f>V284/(T284+U284)</f>
        <v>0.12383806619889057</v>
      </c>
      <c r="Y284" s="123">
        <f>T284/U284</f>
        <v>1.2430404029084292</v>
      </c>
      <c r="Z284" s="125">
        <f>ABS((W287-W279)/W279)</f>
        <v>3.5899548941321788E-2</v>
      </c>
      <c r="AB284" s="123">
        <v>9.9000000000000005E-2</v>
      </c>
      <c r="AC284" s="123" t="s">
        <v>213</v>
      </c>
      <c r="AD284" s="98"/>
      <c r="BG284" s="1"/>
      <c r="BH284" s="2" t="s">
        <v>8</v>
      </c>
      <c r="BI284" s="2" t="s">
        <v>9</v>
      </c>
      <c r="BJ284" s="2" t="s">
        <v>10</v>
      </c>
      <c r="BK284" s="3" t="s">
        <v>11</v>
      </c>
      <c r="BL284" s="103" t="s">
        <v>16</v>
      </c>
      <c r="BM284" s="103" t="s">
        <v>172</v>
      </c>
      <c r="BN284" s="124" t="s">
        <v>171</v>
      </c>
      <c r="BO284" s="123"/>
      <c r="BP284" s="123"/>
      <c r="BQ284" s="123">
        <v>1.4999999999999999E-2</v>
      </c>
      <c r="BR284" s="103" t="s">
        <v>212</v>
      </c>
      <c r="BS284" s="98" t="s">
        <v>240</v>
      </c>
    </row>
    <row r="285" spans="1:71">
      <c r="A285" s="4" t="s">
        <v>4</v>
      </c>
      <c r="B285" s="5">
        <v>221.345</v>
      </c>
      <c r="C285" s="5">
        <v>450.35399999999998</v>
      </c>
      <c r="D285" s="5">
        <v>344.88099999999997</v>
      </c>
      <c r="E285" s="112">
        <f t="shared" ref="E285:E286" si="739">SUM(B285:D285)</f>
        <v>1016.5799999999999</v>
      </c>
      <c r="F285" s="123">
        <f t="shared" ref="F285:F287" si="740">D285/(B285+C285)</f>
        <v>0.51344575472049236</v>
      </c>
      <c r="G285" s="123">
        <f t="shared" ref="G285:G287" si="741">B285/C285</f>
        <v>0.49149113808248623</v>
      </c>
      <c r="J285" s="123">
        <f t="shared" ref="J285:J288" si="742">J284</f>
        <v>0.08</v>
      </c>
      <c r="K285" s="123" t="s">
        <v>214</v>
      </c>
      <c r="L285" s="98" t="s">
        <v>242</v>
      </c>
      <c r="S285" s="4" t="s">
        <v>4</v>
      </c>
      <c r="T285" s="5">
        <v>3341.09</v>
      </c>
      <c r="U285" s="5">
        <v>6000.78</v>
      </c>
      <c r="V285" s="5">
        <v>1156.8800000000001</v>
      </c>
      <c r="W285" s="112">
        <f t="shared" ref="W285:W286" si="743">SUM(T285:V285)</f>
        <v>10498.75</v>
      </c>
      <c r="X285" s="123">
        <f t="shared" ref="X285:X287" si="744">V285/(T285+U285)</f>
        <v>0.12383816088213605</v>
      </c>
      <c r="Y285" s="123">
        <f t="shared" ref="Y285:Y287" si="745">T285/U285</f>
        <v>0.55677595245951361</v>
      </c>
      <c r="AB285" s="123">
        <v>0.09</v>
      </c>
      <c r="AC285" s="123" t="s">
        <v>214</v>
      </c>
      <c r="AD285" s="98"/>
      <c r="BG285" s="4" t="s">
        <v>3</v>
      </c>
      <c r="BH285" s="100">
        <v>2280.48</v>
      </c>
      <c r="BI285" s="5">
        <v>4472.91</v>
      </c>
      <c r="BJ285" s="5">
        <v>690.69899999999996</v>
      </c>
      <c r="BK285" s="110">
        <f>SUM(BH285:BJ285)</f>
        <v>7444.088999999999</v>
      </c>
      <c r="BL285" s="123">
        <f>BJ285/(BH285+BI285)</f>
        <v>0.10227441329465646</v>
      </c>
      <c r="BM285" s="123">
        <f>BH285/BI285</f>
        <v>0.50984258569924279</v>
      </c>
      <c r="BN285" s="125">
        <f>ABS((BK288-BK280)/BK280)</f>
        <v>4.0158834919199236E-4</v>
      </c>
      <c r="BO285" s="123"/>
      <c r="BP285" s="123"/>
      <c r="BQ285" s="123">
        <f>BQ284</f>
        <v>1.4999999999999999E-2</v>
      </c>
      <c r="BR285" s="123" t="s">
        <v>213</v>
      </c>
      <c r="BS285" s="98" t="s">
        <v>241</v>
      </c>
    </row>
    <row r="286" spans="1:71">
      <c r="A286" s="4" t="s">
        <v>5</v>
      </c>
      <c r="B286" s="5">
        <v>161.94900000000001</v>
      </c>
      <c r="C286" s="5">
        <v>352.01</v>
      </c>
      <c r="D286" s="5">
        <v>263.89</v>
      </c>
      <c r="E286" s="108">
        <f t="shared" si="739"/>
        <v>777.84900000000005</v>
      </c>
      <c r="F286" s="123">
        <f t="shared" si="740"/>
        <v>0.51344562504012958</v>
      </c>
      <c r="G286" s="123">
        <f t="shared" si="741"/>
        <v>0.46006931621260766</v>
      </c>
      <c r="J286" s="123">
        <f t="shared" si="742"/>
        <v>0.08</v>
      </c>
      <c r="K286" s="103" t="s">
        <v>215</v>
      </c>
      <c r="L286" s="98" t="s">
        <v>243</v>
      </c>
      <c r="S286" s="4" t="s">
        <v>5</v>
      </c>
      <c r="T286" s="5">
        <v>535.60299999999995</v>
      </c>
      <c r="U286" s="5">
        <v>1464.02</v>
      </c>
      <c r="V286" s="5">
        <v>247.63</v>
      </c>
      <c r="W286" s="108">
        <f t="shared" si="743"/>
        <v>2247.2530000000002</v>
      </c>
      <c r="X286" s="123">
        <f t="shared" si="744"/>
        <v>0.12383834352775498</v>
      </c>
      <c r="Y286" s="123">
        <f t="shared" si="745"/>
        <v>0.3658440458463682</v>
      </c>
      <c r="AB286" s="103">
        <v>2.1999999999999999E-2</v>
      </c>
      <c r="AC286" s="103" t="s">
        <v>215</v>
      </c>
      <c r="AD286" s="98"/>
      <c r="BG286" s="4" t="s">
        <v>4</v>
      </c>
      <c r="BH286" s="5">
        <v>4468.33</v>
      </c>
      <c r="BI286" s="5">
        <v>8957.36</v>
      </c>
      <c r="BJ286" s="5">
        <v>1373.1</v>
      </c>
      <c r="BK286" s="112">
        <f t="shared" ref="BK286:BK287" si="746">SUM(BH286:BJ286)</f>
        <v>14798.79</v>
      </c>
      <c r="BL286" s="123">
        <f t="shared" ref="BL286:BL288" si="747">BJ286/(BH286+BI286)</f>
        <v>0.10227407306440114</v>
      </c>
      <c r="BM286" s="123">
        <f t="shared" ref="BM286:BM288" si="748">BH286/BI286</f>
        <v>0.4988445256191556</v>
      </c>
      <c r="BN286" s="123"/>
      <c r="BO286" s="123"/>
      <c r="BP286" s="123"/>
      <c r="BQ286" s="123">
        <f t="shared" ref="BQ286" si="749">BQ285</f>
        <v>1.4999999999999999E-2</v>
      </c>
      <c r="BR286" s="123" t="s">
        <v>214</v>
      </c>
      <c r="BS286" s="98" t="s">
        <v>242</v>
      </c>
    </row>
    <row r="287" spans="1:71" ht="15.75" thickBot="1">
      <c r="A287" s="7"/>
      <c r="B287" s="111">
        <f>SUM(B284:B286)</f>
        <v>498.37600000000003</v>
      </c>
      <c r="C287" s="113">
        <f t="shared" ref="C287:D287" si="750">SUM(C284:C286)</f>
        <v>1016.581</v>
      </c>
      <c r="D287" s="109">
        <f t="shared" si="750"/>
        <v>777.84799999999996</v>
      </c>
      <c r="E287" s="102">
        <f>SUM(E284:E286)</f>
        <v>2292.8049999999998</v>
      </c>
      <c r="F287" s="123">
        <f t="shared" si="740"/>
        <v>0.51344559614563312</v>
      </c>
      <c r="G287" s="123">
        <f t="shared" si="741"/>
        <v>0.49024721099450019</v>
      </c>
      <c r="J287" s="123">
        <f t="shared" si="742"/>
        <v>0.08</v>
      </c>
      <c r="K287" s="103" t="s">
        <v>216</v>
      </c>
      <c r="L287" s="98" t="s">
        <v>244</v>
      </c>
      <c r="S287" s="7"/>
      <c r="T287" s="111">
        <f>SUM(T284:T286)</f>
        <v>7648.0029999999997</v>
      </c>
      <c r="U287" s="113">
        <f t="shared" ref="U287:V287" si="751">SUM(U284:U286)</f>
        <v>10498.74</v>
      </c>
      <c r="V287" s="109">
        <f t="shared" si="751"/>
        <v>2247.259</v>
      </c>
      <c r="W287" s="102">
        <f>SUM(W284:W286)</f>
        <v>20394.002</v>
      </c>
      <c r="X287" s="123">
        <f t="shared" si="744"/>
        <v>0.12383814550082074</v>
      </c>
      <c r="Y287" s="123">
        <f t="shared" si="745"/>
        <v>0.72846865433375818</v>
      </c>
      <c r="AB287" s="103">
        <v>5.5E-2</v>
      </c>
      <c r="AC287" s="103" t="s">
        <v>216</v>
      </c>
      <c r="AD287" s="98"/>
      <c r="BG287" s="4" t="s">
        <v>5</v>
      </c>
      <c r="BH287" s="5">
        <v>695.28099999999995</v>
      </c>
      <c r="BI287" s="5">
        <v>1368.52</v>
      </c>
      <c r="BJ287" s="5">
        <v>211.07400000000001</v>
      </c>
      <c r="BK287" s="108">
        <f t="shared" si="746"/>
        <v>2274.875</v>
      </c>
      <c r="BL287" s="123">
        <f t="shared" si="747"/>
        <v>0.10227439564182787</v>
      </c>
      <c r="BM287" s="123">
        <f t="shared" si="748"/>
        <v>0.50805322538216469</v>
      </c>
      <c r="BN287" s="123"/>
      <c r="BO287" s="123"/>
      <c r="BP287" s="123"/>
      <c r="BQ287" s="123">
        <f t="shared" ref="BQ287" si="752">BQ286</f>
        <v>1.4999999999999999E-2</v>
      </c>
      <c r="BR287" s="103" t="s">
        <v>215</v>
      </c>
      <c r="BS287" s="98" t="s">
        <v>243</v>
      </c>
    </row>
    <row r="288" spans="1:71" ht="16.5" thickTop="1" thickBot="1">
      <c r="A288" s="130"/>
      <c r="F288" s="124" t="s">
        <v>420</v>
      </c>
      <c r="G288" s="103">
        <f>AVERAGE(G284:G286)</f>
        <v>0.49626068556297603</v>
      </c>
      <c r="J288" s="123">
        <f t="shared" si="742"/>
        <v>0.08</v>
      </c>
      <c r="K288" s="103" t="s">
        <v>217</v>
      </c>
      <c r="L288" s="98" t="s">
        <v>245</v>
      </c>
      <c r="X288" s="124" t="s">
        <v>420</v>
      </c>
      <c r="Y288" s="103">
        <f>AVERAGE(Y284:Y286)</f>
        <v>0.72188680040477038</v>
      </c>
      <c r="AB288" s="103">
        <v>0.08</v>
      </c>
      <c r="AC288" s="103" t="s">
        <v>217</v>
      </c>
      <c r="AD288" s="98"/>
      <c r="BG288" s="7"/>
      <c r="BH288" s="111">
        <f>SUM(BH285:BH287)</f>
        <v>7444.0909999999994</v>
      </c>
      <c r="BI288" s="113">
        <f t="shared" ref="BI288:BJ288" si="753">SUM(BI285:BI287)</f>
        <v>14798.79</v>
      </c>
      <c r="BJ288" s="109">
        <f t="shared" si="753"/>
        <v>2274.873</v>
      </c>
      <c r="BK288" s="102">
        <f>SUM(BK285:BK287)</f>
        <v>24517.754000000001</v>
      </c>
      <c r="BL288" s="123">
        <f t="shared" si="747"/>
        <v>0.10227420629548843</v>
      </c>
      <c r="BM288" s="123">
        <f t="shared" si="748"/>
        <v>0.50302024692559322</v>
      </c>
      <c r="BN288" s="123"/>
      <c r="BO288" s="123"/>
      <c r="BP288" s="123"/>
      <c r="BQ288" s="123">
        <f t="shared" ref="BQ288" si="754">BQ287</f>
        <v>1.4999999999999999E-2</v>
      </c>
      <c r="BR288" s="103" t="s">
        <v>216</v>
      </c>
      <c r="BS288" s="98" t="s">
        <v>244</v>
      </c>
    </row>
    <row r="289" spans="1:71" ht="15.75" thickTop="1">
      <c r="A289" s="130" t="s">
        <v>12</v>
      </c>
      <c r="B289" s="123">
        <f>B284/B276</f>
        <v>1.0225148381135158</v>
      </c>
      <c r="C289" s="123" t="s">
        <v>163</v>
      </c>
      <c r="D289" s="123">
        <f>C284/C276</f>
        <v>1.0076247906827975</v>
      </c>
      <c r="E289" s="124" t="s">
        <v>255</v>
      </c>
      <c r="J289" s="124" t="s">
        <v>246</v>
      </c>
      <c r="L289" s="98"/>
      <c r="S289" s="130" t="s">
        <v>12</v>
      </c>
      <c r="T289" s="123">
        <f>T284/T276</f>
        <v>1.0698539319786557</v>
      </c>
      <c r="U289" s="123" t="s">
        <v>163</v>
      </c>
      <c r="V289" s="123">
        <f>U284/U276</f>
        <v>1.0201786861156787</v>
      </c>
      <c r="W289" s="124" t="s">
        <v>255</v>
      </c>
      <c r="AB289" s="138" t="s">
        <v>249</v>
      </c>
      <c r="AD289" s="98"/>
      <c r="BG289" s="130"/>
      <c r="BH289" s="123"/>
      <c r="BI289" s="123"/>
      <c r="BJ289" s="123"/>
      <c r="BK289" s="123"/>
      <c r="BL289" s="124" t="s">
        <v>420</v>
      </c>
      <c r="BM289" s="103">
        <f>AVERAGE(BM285:BM287)</f>
        <v>0.50558011223352095</v>
      </c>
      <c r="BN289" s="123"/>
      <c r="BO289" s="123"/>
      <c r="BP289" s="123"/>
      <c r="BQ289" s="123">
        <f t="shared" ref="BQ289" si="755">BQ288</f>
        <v>1.4999999999999999E-2</v>
      </c>
      <c r="BR289" s="103" t="s">
        <v>217</v>
      </c>
      <c r="BS289" s="98" t="s">
        <v>245</v>
      </c>
    </row>
    <row r="290" spans="1:71">
      <c r="A290" s="130" t="s">
        <v>13</v>
      </c>
      <c r="B290" s="123">
        <f t="shared" ref="B290:B291" si="756">B285/B277</f>
        <v>1.0176921980533065</v>
      </c>
      <c r="C290" s="123" t="s">
        <v>164</v>
      </c>
      <c r="D290" s="123">
        <f t="shared" ref="D290:D291" si="757">C285/C277</f>
        <v>1.0059280768371677</v>
      </c>
      <c r="E290" s="123">
        <f>VAR(G276:G278)</f>
        <v>1.4259495147951329E-3</v>
      </c>
      <c r="F290" s="124">
        <f>STDEV(G276:G278)/G280</f>
        <v>7.7096252860276715E-2</v>
      </c>
      <c r="G290" s="124" t="s">
        <v>449</v>
      </c>
      <c r="L290" s="98"/>
      <c r="S290" s="130" t="s">
        <v>13</v>
      </c>
      <c r="T290" s="123">
        <f t="shared" ref="T290:T291" si="758">T285/T277</f>
        <v>1.0698300677871668</v>
      </c>
      <c r="U290" s="123" t="s">
        <v>164</v>
      </c>
      <c r="V290" s="123">
        <f t="shared" ref="V290:V291" si="759">U285/U277</f>
        <v>1.0198799757300117</v>
      </c>
      <c r="W290" s="123">
        <f>VAR(Y276:Y278)</f>
        <v>0.19351229552711058</v>
      </c>
      <c r="X290" s="124">
        <f>STDEV(Y276:Y278)/Y280</f>
        <v>0.63907324897039519</v>
      </c>
      <c r="Y290" s="124" t="s">
        <v>449</v>
      </c>
      <c r="AD290" s="98"/>
      <c r="BG290" s="130" t="s">
        <v>12</v>
      </c>
      <c r="BH290" s="123">
        <f>BH285/BH277</f>
        <v>0.99993861318413424</v>
      </c>
      <c r="BI290" s="123" t="s">
        <v>163</v>
      </c>
      <c r="BJ290" s="123">
        <f>BI285/BI277</f>
        <v>0.99934983980589032</v>
      </c>
      <c r="BK290" s="124" t="s">
        <v>255</v>
      </c>
      <c r="BL290" s="123"/>
      <c r="BM290" s="123"/>
      <c r="BN290" s="123"/>
      <c r="BO290" s="123"/>
      <c r="BP290" s="123"/>
      <c r="BQ290" s="124" t="s">
        <v>246</v>
      </c>
      <c r="BR290" s="123"/>
      <c r="BS290" s="98"/>
    </row>
    <row r="291" spans="1:71">
      <c r="A291" s="130" t="s">
        <v>14</v>
      </c>
      <c r="B291" s="123">
        <f t="shared" si="756"/>
        <v>1.0196373481080401</v>
      </c>
      <c r="C291" s="123" t="s">
        <v>165</v>
      </c>
      <c r="D291" s="123">
        <f t="shared" si="757"/>
        <v>1.0066114189958193</v>
      </c>
      <c r="G291" s="124" t="s">
        <v>438</v>
      </c>
      <c r="L291" s="98"/>
      <c r="S291" s="130" t="s">
        <v>14</v>
      </c>
      <c r="T291" s="123">
        <f t="shared" si="758"/>
        <v>1.0705615219637776</v>
      </c>
      <c r="U291" s="123" t="s">
        <v>165</v>
      </c>
      <c r="V291" s="123">
        <f t="shared" si="759"/>
        <v>1.0210341316446516</v>
      </c>
      <c r="Y291" s="124" t="s">
        <v>438</v>
      </c>
      <c r="AD291" s="98"/>
      <c r="BG291" s="130" t="s">
        <v>13</v>
      </c>
      <c r="BH291" s="123">
        <f t="shared" ref="BH291:BH292" si="760">BH286/BH278</f>
        <v>1.0000223802266222</v>
      </c>
      <c r="BI291" s="123" t="s">
        <v>164</v>
      </c>
      <c r="BJ291" s="123">
        <f t="shared" ref="BJ291:BJ292" si="761">BI286/BI278</f>
        <v>0.99930942539507239</v>
      </c>
      <c r="BK291" s="123">
        <f>VAR(BM277:BM279)</f>
        <v>3.4945033812171763E-5</v>
      </c>
      <c r="BL291" s="124">
        <f>STDEV(BM277:BM279)/BM281</f>
        <v>1.1700554404321615E-2</v>
      </c>
      <c r="BM291" s="124" t="s">
        <v>449</v>
      </c>
      <c r="BN291" s="123"/>
      <c r="BO291" s="123"/>
      <c r="BP291" s="123"/>
      <c r="BQ291" s="123"/>
      <c r="BR291" s="123"/>
      <c r="BS291" s="98"/>
    </row>
    <row r="292" spans="1:71">
      <c r="A292" s="130" t="s">
        <v>15</v>
      </c>
      <c r="B292" s="123">
        <f>E284/E276</f>
        <v>1.0194344157504474</v>
      </c>
      <c r="C292" s="123" t="s">
        <v>67</v>
      </c>
      <c r="D292" s="123">
        <f>E285/E277</f>
        <v>1.0065208308168165</v>
      </c>
      <c r="E292" s="124" t="s">
        <v>256</v>
      </c>
      <c r="L292" s="98"/>
      <c r="S292" s="130" t="s">
        <v>15</v>
      </c>
      <c r="T292" s="123">
        <f>W284/W276</f>
        <v>1.0698921700194295</v>
      </c>
      <c r="U292" s="123" t="s">
        <v>67</v>
      </c>
      <c r="V292" s="123">
        <f>W285/W277</f>
        <v>1.0201280656069027</v>
      </c>
      <c r="W292" s="124" t="s">
        <v>256</v>
      </c>
      <c r="AD292" s="98"/>
      <c r="BG292" s="130" t="s">
        <v>14</v>
      </c>
      <c r="BH292" s="123">
        <f t="shared" si="760"/>
        <v>1.0001826933312619</v>
      </c>
      <c r="BI292" s="123" t="s">
        <v>165</v>
      </c>
      <c r="BJ292" s="123">
        <f t="shared" si="761"/>
        <v>0.99938657475024839</v>
      </c>
      <c r="BK292" s="123"/>
      <c r="BL292" s="123"/>
      <c r="BM292" s="124" t="s">
        <v>438</v>
      </c>
      <c r="BN292" s="123"/>
      <c r="BO292" s="123"/>
      <c r="BP292" s="123"/>
      <c r="BQ292" s="123"/>
      <c r="BR292" s="123"/>
      <c r="BS292" s="98"/>
    </row>
    <row r="293" spans="1:71">
      <c r="A293" s="130" t="s">
        <v>170</v>
      </c>
      <c r="B293" s="123">
        <f>VAR(B289:B291)</f>
        <v>5.8869024362299121E-6</v>
      </c>
      <c r="C293" s="123" t="s">
        <v>170</v>
      </c>
      <c r="D293" s="123">
        <f>VAR(D289:D291)</f>
        <v>7.2878609261864117E-7</v>
      </c>
      <c r="E293" s="123">
        <f>VAR(G284:G286)</f>
        <v>1.5051802531239611E-3</v>
      </c>
      <c r="F293" s="124">
        <f>STDEV(G284:G286)/G288</f>
        <v>7.8177969222033378E-2</v>
      </c>
      <c r="G293" s="124" t="s">
        <v>449</v>
      </c>
      <c r="L293" s="98"/>
      <c r="S293" s="130" t="s">
        <v>170</v>
      </c>
      <c r="T293" s="123">
        <f>VAR(T289:T291)</f>
        <v>1.7271304986026504E-7</v>
      </c>
      <c r="U293" s="123" t="s">
        <v>170</v>
      </c>
      <c r="V293" s="123">
        <f>VAR(V289:V291)</f>
        <v>3.5884847047391305E-7</v>
      </c>
      <c r="W293" s="123">
        <f>VAR(Y284:Y286)</f>
        <v>0.21281455629263879</v>
      </c>
      <c r="X293" s="124">
        <f>STDEV(Y284:Y286)/Y288</f>
        <v>0.63904518082537309</v>
      </c>
      <c r="Y293" s="124" t="s">
        <v>449</v>
      </c>
      <c r="AD293" s="98"/>
      <c r="BG293" s="130" t="s">
        <v>15</v>
      </c>
      <c r="BH293" s="123">
        <f>BK285/BK277</f>
        <v>1.0000115529238771</v>
      </c>
      <c r="BI293" s="123" t="s">
        <v>67</v>
      </c>
      <c r="BJ293" s="123">
        <f>BK286/BK278</f>
        <v>0.99932877431082889</v>
      </c>
      <c r="BK293" s="124" t="s">
        <v>256</v>
      </c>
      <c r="BL293" s="123"/>
      <c r="BM293" s="123"/>
      <c r="BN293" s="123"/>
      <c r="BO293" s="123"/>
      <c r="BP293" s="123"/>
      <c r="BQ293" s="123"/>
      <c r="BR293" s="123"/>
      <c r="BS293" s="98"/>
    </row>
    <row r="294" spans="1:71">
      <c r="A294" s="130"/>
      <c r="G294" s="124" t="s">
        <v>438</v>
      </c>
      <c r="L294" s="98"/>
      <c r="Y294" s="124" t="s">
        <v>438</v>
      </c>
      <c r="AD294" s="98"/>
      <c r="BG294" s="130" t="s">
        <v>170</v>
      </c>
      <c r="BH294" s="123">
        <f>VAR(BH290:BH292)</f>
        <v>1.5382054524706086E-8</v>
      </c>
      <c r="BI294" s="123" t="s">
        <v>170</v>
      </c>
      <c r="BJ294" s="123">
        <f>VAR(BJ290:BJ292)</f>
        <v>1.4891339571371805E-9</v>
      </c>
      <c r="BK294" s="123">
        <f>VAR(BM285:BM287)</f>
        <v>3.482654786579749E-5</v>
      </c>
      <c r="BL294" s="124">
        <f>STDEV(BM285:BM287)/BM289</f>
        <v>1.1672536264954103E-2</v>
      </c>
      <c r="BM294" s="124" t="s">
        <v>449</v>
      </c>
      <c r="BN294" s="123"/>
      <c r="BO294" s="123"/>
      <c r="BP294" s="123"/>
      <c r="BQ294" s="123"/>
      <c r="BR294" s="123"/>
      <c r="BS294" s="98"/>
    </row>
    <row r="295" spans="1:71">
      <c r="A295" s="130"/>
      <c r="D295" s="123" t="s">
        <v>444</v>
      </c>
      <c r="L295" s="98"/>
      <c r="V295" s="123" t="s">
        <v>444</v>
      </c>
      <c r="AD295" s="98"/>
      <c r="BG295" s="130"/>
      <c r="BH295" s="123"/>
      <c r="BI295" s="123"/>
      <c r="BJ295" s="123"/>
      <c r="BK295" s="123"/>
      <c r="BL295" s="123"/>
      <c r="BM295" s="124" t="s">
        <v>438</v>
      </c>
      <c r="BN295" s="123"/>
      <c r="BO295" s="123"/>
      <c r="BP295" s="123"/>
      <c r="BQ295" s="123"/>
      <c r="BR295" s="123"/>
      <c r="BS295" s="98"/>
    </row>
    <row r="296" spans="1:71">
      <c r="A296" s="130"/>
      <c r="B296" s="123">
        <f>B289</f>
        <v>1.0225148381135158</v>
      </c>
      <c r="D296" s="123">
        <f>ABS(C284-B285)/C284</f>
        <v>3.3274670077538128E-2</v>
      </c>
      <c r="E296" s="123" t="s">
        <v>446</v>
      </c>
      <c r="L296" s="98"/>
      <c r="T296" s="123">
        <f>T289</f>
        <v>1.0698539319786557</v>
      </c>
      <c r="V296" s="123">
        <f>ABS(U284-T285)/U284</f>
        <v>0.1012379941594099</v>
      </c>
      <c r="W296" s="123" t="s">
        <v>446</v>
      </c>
      <c r="AD296" s="98"/>
      <c r="BG296" s="130"/>
      <c r="BH296" s="123"/>
      <c r="BI296" s="123"/>
      <c r="BJ296" s="123" t="s">
        <v>444</v>
      </c>
      <c r="BK296" s="123"/>
      <c r="BL296" s="123"/>
      <c r="BM296" s="123"/>
      <c r="BN296" s="123"/>
      <c r="BO296" s="123"/>
      <c r="BP296" s="123"/>
      <c r="BQ296" s="123"/>
      <c r="BR296" s="123"/>
      <c r="BS296" s="98"/>
    </row>
    <row r="297" spans="1:71">
      <c r="A297" s="130"/>
      <c r="B297" s="123">
        <f t="shared" ref="B297:B298" si="762">B290</f>
        <v>1.0176921980533065</v>
      </c>
      <c r="D297" s="123">
        <f>ABS((C276-B277)/C276)</f>
        <v>2.3053114828124756E-2</v>
      </c>
      <c r="E297" s="123" t="s">
        <v>445</v>
      </c>
      <c r="L297" s="98"/>
      <c r="T297" s="123">
        <f t="shared" ref="T297:T298" si="763">T290</f>
        <v>1.0698300677871668</v>
      </c>
      <c r="V297" s="123">
        <f>ABS((U276-T277)/U276)</f>
        <v>5.0128953943098992E-2</v>
      </c>
      <c r="W297" s="123" t="s">
        <v>445</v>
      </c>
      <c r="AD297" s="98"/>
      <c r="BG297" s="130"/>
      <c r="BH297" s="123">
        <f>BH290</f>
        <v>0.99993861318413424</v>
      </c>
      <c r="BI297" s="123"/>
      <c r="BJ297" s="123">
        <f>ABS(BI285-BH286)/BI285</f>
        <v>1.0239419080643089E-3</v>
      </c>
      <c r="BK297" s="123" t="s">
        <v>446</v>
      </c>
      <c r="BL297" s="123"/>
      <c r="BM297" s="123"/>
      <c r="BN297" s="123"/>
      <c r="BO297" s="123"/>
      <c r="BP297" s="123"/>
      <c r="BQ297" s="123"/>
      <c r="BR297" s="123"/>
      <c r="BS297" s="98"/>
    </row>
    <row r="298" spans="1:71">
      <c r="A298" s="130"/>
      <c r="B298" s="123">
        <f t="shared" si="762"/>
        <v>1.0196373481080401</v>
      </c>
      <c r="L298" s="98"/>
      <c r="T298" s="123">
        <f t="shared" si="763"/>
        <v>1.0705615219637776</v>
      </c>
      <c r="AD298" s="98"/>
      <c r="BG298" s="130"/>
      <c r="BH298" s="123">
        <f t="shared" ref="BH298:BH299" si="764">BH291</f>
        <v>1.0000223802266222</v>
      </c>
      <c r="BI298" s="123"/>
      <c r="BJ298" s="123">
        <f>ABS((BI277-BH278)/BI277)</f>
        <v>1.6957786506160092E-3</v>
      </c>
      <c r="BK298" s="123" t="s">
        <v>445</v>
      </c>
      <c r="BL298" s="123"/>
      <c r="BM298" s="123"/>
      <c r="BN298" s="123"/>
      <c r="BO298" s="123"/>
      <c r="BP298" s="123"/>
      <c r="BQ298" s="123"/>
      <c r="BR298" s="123"/>
      <c r="BS298" s="98"/>
    </row>
    <row r="299" spans="1:71">
      <c r="A299" s="130"/>
      <c r="B299" s="123">
        <f>D289</f>
        <v>1.0076247906827975</v>
      </c>
      <c r="L299" s="98"/>
      <c r="T299" s="123">
        <f>V289</f>
        <v>1.0201786861156787</v>
      </c>
      <c r="AD299" s="98"/>
      <c r="BG299" s="130"/>
      <c r="BH299" s="123">
        <f t="shared" si="764"/>
        <v>1.0001826933312619</v>
      </c>
      <c r="BI299" s="123"/>
      <c r="BJ299" s="123"/>
      <c r="BK299" s="123"/>
      <c r="BL299" s="123"/>
      <c r="BM299" s="123"/>
      <c r="BN299" s="123"/>
      <c r="BO299" s="123"/>
      <c r="BP299" s="123"/>
      <c r="BQ299" s="123"/>
      <c r="BR299" s="123"/>
      <c r="BS299" s="98"/>
    </row>
    <row r="300" spans="1:71">
      <c r="A300" s="130"/>
      <c r="B300" s="123">
        <f t="shared" ref="B300:B301" si="765">D290</f>
        <v>1.0059280768371677</v>
      </c>
      <c r="L300" s="98"/>
      <c r="T300" s="123">
        <f t="shared" ref="T300:T301" si="766">V290</f>
        <v>1.0198799757300117</v>
      </c>
      <c r="AD300" s="98"/>
      <c r="BG300" s="130"/>
      <c r="BH300" s="123">
        <f>BJ290</f>
        <v>0.99934983980589032</v>
      </c>
      <c r="BI300" s="123"/>
      <c r="BJ300" s="123"/>
      <c r="BK300" s="123"/>
      <c r="BL300" s="123"/>
      <c r="BM300" s="123"/>
      <c r="BN300" s="123"/>
      <c r="BO300" s="123"/>
      <c r="BP300" s="123"/>
      <c r="BQ300" s="123"/>
      <c r="BR300" s="123"/>
      <c r="BS300" s="98"/>
    </row>
    <row r="301" spans="1:71">
      <c r="A301" s="130"/>
      <c r="B301" s="123">
        <f t="shared" si="765"/>
        <v>1.0066114189958193</v>
      </c>
      <c r="L301" s="98"/>
      <c r="T301" s="123">
        <f t="shared" si="766"/>
        <v>1.0210341316446516</v>
      </c>
      <c r="AD301" s="98"/>
      <c r="BG301" s="130"/>
      <c r="BH301" s="123">
        <f t="shared" ref="BH301:BH302" si="767">BJ291</f>
        <v>0.99930942539507239</v>
      </c>
      <c r="BI301" s="123"/>
      <c r="BJ301" s="123"/>
      <c r="BK301" s="123"/>
      <c r="BL301" s="123"/>
      <c r="BM301" s="123"/>
      <c r="BN301" s="123"/>
      <c r="BO301" s="123"/>
      <c r="BP301" s="123"/>
      <c r="BQ301" s="123"/>
      <c r="BR301" s="123"/>
      <c r="BS301" s="98"/>
    </row>
    <row r="302" spans="1:71" ht="15.75" thickBot="1">
      <c r="A302" s="131" t="s">
        <v>170</v>
      </c>
      <c r="B302" s="126">
        <f>VAR(B296:B301)</f>
        <v>5.5129947350538667E-5</v>
      </c>
      <c r="C302" s="126"/>
      <c r="D302" s="126"/>
      <c r="E302" s="126"/>
      <c r="F302" s="126"/>
      <c r="G302" s="126"/>
      <c r="H302" s="126"/>
      <c r="I302" s="126"/>
      <c r="J302" s="126"/>
      <c r="K302" s="126"/>
      <c r="L302" s="127"/>
      <c r="S302" s="131" t="s">
        <v>170</v>
      </c>
      <c r="T302" s="126">
        <f>VAR(T296:T301)</f>
        <v>7.4176383598193384E-4</v>
      </c>
      <c r="U302" s="126"/>
      <c r="V302" s="126"/>
      <c r="W302" s="126"/>
      <c r="X302" s="126"/>
      <c r="Y302" s="126"/>
      <c r="Z302" s="126"/>
      <c r="AA302" s="126"/>
      <c r="AB302" s="126"/>
      <c r="AC302" s="126"/>
      <c r="AD302" s="127"/>
      <c r="BG302" s="130"/>
      <c r="BH302" s="123">
        <f t="shared" si="767"/>
        <v>0.99938657475024839</v>
      </c>
      <c r="BI302" s="123"/>
      <c r="BJ302" s="123"/>
      <c r="BK302" s="123"/>
      <c r="BL302" s="123"/>
      <c r="BM302" s="123"/>
      <c r="BN302" s="123"/>
      <c r="BO302" s="123"/>
      <c r="BP302" s="123"/>
      <c r="BQ302" s="123"/>
      <c r="BR302" s="123"/>
      <c r="BS302" s="98"/>
    </row>
    <row r="303" spans="1:71" ht="16.5" thickTop="1" thickBot="1">
      <c r="A303" s="128"/>
      <c r="B303" s="121"/>
      <c r="C303" s="121"/>
      <c r="D303" s="121"/>
      <c r="E303" s="121"/>
      <c r="F303" s="133" t="s">
        <v>239</v>
      </c>
      <c r="G303" s="121"/>
      <c r="H303" s="121"/>
      <c r="I303" s="124" t="s">
        <v>236</v>
      </c>
      <c r="J303" s="121"/>
      <c r="K303" s="121"/>
      <c r="L303" s="122"/>
      <c r="BG303" s="131" t="s">
        <v>170</v>
      </c>
      <c r="BH303" s="126">
        <f>VAR(BH297:BH302)</f>
        <v>1.5344718064940013E-7</v>
      </c>
      <c r="BI303" s="126"/>
      <c r="BJ303" s="126"/>
      <c r="BK303" s="126"/>
      <c r="BL303" s="126"/>
      <c r="BM303" s="126"/>
      <c r="BN303" s="126"/>
      <c r="BO303" s="126"/>
      <c r="BP303" s="126"/>
      <c r="BQ303" s="126"/>
      <c r="BR303" s="126"/>
      <c r="BS303" s="127"/>
    </row>
    <row r="304" spans="1:71" ht="16.5" thickTop="1" thickBot="1">
      <c r="A304" s="130" t="s">
        <v>167</v>
      </c>
      <c r="H304" s="123" t="s">
        <v>168</v>
      </c>
      <c r="L304" s="98"/>
      <c r="BG304" s="128"/>
      <c r="BH304" s="121"/>
      <c r="BI304" s="121"/>
      <c r="BJ304" s="121"/>
      <c r="BK304" s="121"/>
      <c r="BL304" s="133" t="s">
        <v>239</v>
      </c>
      <c r="BM304" s="121"/>
      <c r="BN304" s="121"/>
      <c r="BO304" s="124" t="s">
        <v>271</v>
      </c>
      <c r="BP304" s="121"/>
      <c r="BQ304" s="121"/>
      <c r="BR304" s="121"/>
      <c r="BS304" s="122"/>
    </row>
    <row r="305" spans="1:71" ht="16.5" thickTop="1" thickBot="1">
      <c r="A305" s="1"/>
      <c r="B305" s="2" t="s">
        <v>0</v>
      </c>
      <c r="C305" s="2" t="s">
        <v>1</v>
      </c>
      <c r="D305" s="2" t="s">
        <v>2</v>
      </c>
      <c r="E305" s="3" t="s">
        <v>6</v>
      </c>
      <c r="F305" s="103" t="s">
        <v>70</v>
      </c>
      <c r="G305" s="103" t="s">
        <v>172</v>
      </c>
      <c r="H305" s="123" t="s">
        <v>3</v>
      </c>
      <c r="I305" s="123">
        <v>6</v>
      </c>
      <c r="K305" s="123" t="s">
        <v>19</v>
      </c>
      <c r="L305" s="98">
        <v>0.700021</v>
      </c>
      <c r="BG305" s="130" t="s">
        <v>167</v>
      </c>
      <c r="BH305" s="123"/>
      <c r="BI305" s="123"/>
      <c r="BJ305" s="123"/>
      <c r="BK305" s="123"/>
      <c r="BL305" s="123"/>
      <c r="BM305" s="123"/>
      <c r="BN305" s="123" t="s">
        <v>168</v>
      </c>
      <c r="BO305" s="123"/>
      <c r="BP305" s="123"/>
      <c r="BQ305" s="123"/>
      <c r="BR305" s="123"/>
      <c r="BS305" s="98"/>
    </row>
    <row r="306" spans="1:71" ht="15.75" thickTop="1">
      <c r="A306" s="4" t="s">
        <v>3</v>
      </c>
      <c r="B306" s="100">
        <v>162.376</v>
      </c>
      <c r="C306" s="5">
        <v>182.43899999999999</v>
      </c>
      <c r="D306" s="5">
        <v>252.81299999999999</v>
      </c>
      <c r="E306" s="104">
        <f>SUM(B306:D306)</f>
        <v>597.62799999999993</v>
      </c>
      <c r="F306" s="123">
        <f>D306/C306</f>
        <v>1.3857398911416967</v>
      </c>
      <c r="G306" s="123">
        <f>B306/C306</f>
        <v>0.8900289959931813</v>
      </c>
      <c r="H306" s="123" t="s">
        <v>4</v>
      </c>
      <c r="I306" s="123">
        <v>12</v>
      </c>
      <c r="L306" s="98"/>
      <c r="BG306" s="1"/>
      <c r="BH306" s="2" t="s">
        <v>0</v>
      </c>
      <c r="BI306" s="2" t="s">
        <v>1</v>
      </c>
      <c r="BJ306" s="2" t="s">
        <v>2</v>
      </c>
      <c r="BK306" s="3" t="s">
        <v>6</v>
      </c>
      <c r="BL306" s="103" t="s">
        <v>70</v>
      </c>
      <c r="BM306" s="103" t="s">
        <v>172</v>
      </c>
      <c r="BN306" s="123" t="s">
        <v>3</v>
      </c>
      <c r="BO306" s="123">
        <v>30</v>
      </c>
      <c r="BP306" s="123"/>
      <c r="BQ306" s="123" t="s">
        <v>19</v>
      </c>
      <c r="BR306" s="123">
        <v>0.112238</v>
      </c>
      <c r="BS306" s="98"/>
    </row>
    <row r="307" spans="1:71">
      <c r="A307" s="4" t="s">
        <v>4</v>
      </c>
      <c r="B307" s="5">
        <v>189.32300000000001</v>
      </c>
      <c r="C307" s="5">
        <v>175.29400000000001</v>
      </c>
      <c r="D307" s="5">
        <v>242.91200000000001</v>
      </c>
      <c r="E307" s="106">
        <f t="shared" ref="E307:E309" si="768">SUM(B307:D307)</f>
        <v>607.529</v>
      </c>
      <c r="F307" s="123">
        <f t="shared" ref="F307:F309" si="769">D307/C307</f>
        <v>1.3857405273426358</v>
      </c>
      <c r="G307" s="123">
        <f t="shared" ref="G307:G309" si="770">B307/C307</f>
        <v>1.0800312617659475</v>
      </c>
      <c r="H307" s="123" t="s">
        <v>5</v>
      </c>
      <c r="I307" s="123">
        <v>4</v>
      </c>
      <c r="L307" s="98"/>
      <c r="BG307" s="4" t="s">
        <v>3</v>
      </c>
      <c r="BH307" s="100">
        <v>5714.03</v>
      </c>
      <c r="BI307" s="5">
        <v>5992.7</v>
      </c>
      <c r="BJ307" s="5">
        <v>1330.78</v>
      </c>
      <c r="BK307" s="104">
        <f>SUM(BH307:BJ307)</f>
        <v>13037.51</v>
      </c>
      <c r="BL307" s="123">
        <f>BJ307/BI307</f>
        <v>0.22206684799839804</v>
      </c>
      <c r="BM307" s="123">
        <f>BH307/BI307</f>
        <v>0.95349842308141575</v>
      </c>
      <c r="BN307" s="123" t="s">
        <v>4</v>
      </c>
      <c r="BO307" s="123">
        <v>60</v>
      </c>
      <c r="BP307" s="123"/>
      <c r="BQ307" s="123"/>
      <c r="BR307" s="123"/>
      <c r="BS307" s="98"/>
    </row>
    <row r="308" spans="1:71">
      <c r="A308" s="4" t="s">
        <v>5</v>
      </c>
      <c r="B308" s="5">
        <v>245.929</v>
      </c>
      <c r="C308" s="5">
        <v>249.79599999999999</v>
      </c>
      <c r="D308" s="5">
        <v>346.15100000000001</v>
      </c>
      <c r="E308" s="108">
        <f t="shared" si="768"/>
        <v>841.87599999999998</v>
      </c>
      <c r="F308" s="123">
        <f t="shared" si="769"/>
        <v>1.3857347595638041</v>
      </c>
      <c r="G308" s="123">
        <f t="shared" si="770"/>
        <v>0.98451936780412819</v>
      </c>
      <c r="L308" s="98"/>
      <c r="BG308" s="4" t="s">
        <v>4</v>
      </c>
      <c r="BH308" s="5">
        <v>5984.41</v>
      </c>
      <c r="BI308" s="5">
        <v>5963.01</v>
      </c>
      <c r="BJ308" s="5">
        <v>1324.19</v>
      </c>
      <c r="BK308" s="106">
        <f t="shared" ref="BK308:BK310" si="771">SUM(BH308:BJ308)</f>
        <v>13271.61</v>
      </c>
      <c r="BL308" s="123">
        <f t="shared" ref="BL308:BL310" si="772">BJ308/BI308</f>
        <v>0.22206737872316162</v>
      </c>
      <c r="BM308" s="123">
        <f t="shared" ref="BM308:BM310" si="773">BH308/BI308</f>
        <v>1.0035887915666752</v>
      </c>
      <c r="BN308" s="123" t="s">
        <v>5</v>
      </c>
      <c r="BO308" s="123">
        <v>25</v>
      </c>
      <c r="BP308" s="123"/>
      <c r="BQ308" s="123"/>
      <c r="BR308" s="123"/>
      <c r="BS308" s="98"/>
    </row>
    <row r="309" spans="1:71" ht="15.75" thickBot="1">
      <c r="A309" s="7"/>
      <c r="B309" s="105">
        <f>SUM(B306:B308)</f>
        <v>597.62800000000004</v>
      </c>
      <c r="C309" s="107">
        <f>SUM(C306:C308)</f>
        <v>607.529</v>
      </c>
      <c r="D309" s="109">
        <f>SUM(D306:D308)</f>
        <v>841.87599999999998</v>
      </c>
      <c r="E309" s="101">
        <f t="shared" si="768"/>
        <v>2047.0330000000001</v>
      </c>
      <c r="F309" s="123">
        <f t="shared" si="769"/>
        <v>1.385737964772052</v>
      </c>
      <c r="G309" s="123">
        <f t="shared" si="770"/>
        <v>0.98370283558480343</v>
      </c>
      <c r="L309" s="98"/>
      <c r="BG309" s="4" t="s">
        <v>5</v>
      </c>
      <c r="BH309" s="5">
        <v>1339.08</v>
      </c>
      <c r="BI309" s="5">
        <v>1315.89</v>
      </c>
      <c r="BJ309" s="5">
        <v>292.21600000000001</v>
      </c>
      <c r="BK309" s="108">
        <f t="shared" si="771"/>
        <v>2947.1860000000001</v>
      </c>
      <c r="BL309" s="123">
        <f t="shared" si="772"/>
        <v>0.22206719406637332</v>
      </c>
      <c r="BM309" s="123">
        <f t="shared" si="773"/>
        <v>1.017623053598705</v>
      </c>
      <c r="BN309" s="123"/>
      <c r="BO309" s="123"/>
      <c r="BP309" s="123"/>
      <c r="BQ309" s="123"/>
      <c r="BR309" s="123"/>
      <c r="BS309" s="98"/>
    </row>
    <row r="310" spans="1:71" ht="16.5" thickTop="1" thickBot="1">
      <c r="A310" s="130"/>
      <c r="F310" s="124" t="s">
        <v>420</v>
      </c>
      <c r="G310" s="103">
        <f>AVERAGE(G306:G308)</f>
        <v>0.98485987518775231</v>
      </c>
      <c r="L310" s="98"/>
      <c r="BG310" s="7"/>
      <c r="BH310" s="105">
        <f>SUM(BH307:BH309)</f>
        <v>13037.519999999999</v>
      </c>
      <c r="BI310" s="107">
        <f>SUM(BI307:BI309)</f>
        <v>13271.599999999999</v>
      </c>
      <c r="BJ310" s="109">
        <f>SUM(BJ307:BJ309)</f>
        <v>2947.1860000000001</v>
      </c>
      <c r="BK310" s="101">
        <f t="shared" si="771"/>
        <v>29256.305999999997</v>
      </c>
      <c r="BL310" s="123">
        <f t="shared" si="772"/>
        <v>0.22206712076916124</v>
      </c>
      <c r="BM310" s="123">
        <f t="shared" si="773"/>
        <v>0.98236233762319536</v>
      </c>
      <c r="BN310" s="123"/>
      <c r="BO310" s="123"/>
      <c r="BP310" s="123"/>
      <c r="BQ310" s="123"/>
      <c r="BR310" s="123"/>
      <c r="BS310" s="98"/>
    </row>
    <row r="311" spans="1:71" ht="15.75" thickTop="1">
      <c r="A311" s="130"/>
      <c r="L311" s="98"/>
      <c r="BG311" s="130"/>
      <c r="BH311" s="123"/>
      <c r="BI311" s="123"/>
      <c r="BJ311" s="123"/>
      <c r="BK311" s="123"/>
      <c r="BL311" s="124" t="s">
        <v>420</v>
      </c>
      <c r="BM311" s="103">
        <f>AVERAGE(BM307:BM309)</f>
        <v>0.99157008941559865</v>
      </c>
      <c r="BN311" s="123"/>
      <c r="BO311" s="123"/>
      <c r="BP311" s="123"/>
      <c r="BQ311" s="123"/>
      <c r="BR311" s="123"/>
      <c r="BS311" s="98"/>
    </row>
    <row r="312" spans="1:71" ht="15.75" thickBot="1">
      <c r="A312" s="140" t="s">
        <v>254</v>
      </c>
      <c r="J312" s="124" t="s">
        <v>218</v>
      </c>
      <c r="L312" s="98"/>
      <c r="BG312" s="130"/>
      <c r="BH312" s="123"/>
      <c r="BI312" s="123"/>
      <c r="BJ312" s="123"/>
      <c r="BK312" s="123"/>
      <c r="BL312" s="123"/>
      <c r="BM312" s="123"/>
      <c r="BN312" s="123"/>
      <c r="BO312" s="123"/>
      <c r="BP312" s="123"/>
      <c r="BQ312" s="123"/>
      <c r="BR312" s="123"/>
      <c r="BS312" s="98"/>
    </row>
    <row r="313" spans="1:71" ht="16.5" thickTop="1" thickBot="1">
      <c r="A313" s="1"/>
      <c r="B313" s="2" t="s">
        <v>8</v>
      </c>
      <c r="C313" s="2" t="s">
        <v>9</v>
      </c>
      <c r="D313" s="2" t="s">
        <v>10</v>
      </c>
      <c r="E313" s="3" t="s">
        <v>11</v>
      </c>
      <c r="F313" s="103" t="s">
        <v>16</v>
      </c>
      <c r="G313" s="103" t="s">
        <v>172</v>
      </c>
      <c r="H313" s="124" t="s">
        <v>171</v>
      </c>
      <c r="J313" s="123">
        <v>0.1</v>
      </c>
      <c r="K313" s="103" t="s">
        <v>212</v>
      </c>
      <c r="L313" s="98"/>
      <c r="BG313" s="140" t="s">
        <v>254</v>
      </c>
      <c r="BH313" s="123"/>
      <c r="BI313" s="123"/>
      <c r="BJ313" s="123"/>
      <c r="BK313" s="123"/>
      <c r="BL313" s="123"/>
      <c r="BM313" s="123"/>
      <c r="BN313" s="123"/>
      <c r="BO313" s="123"/>
      <c r="BP313" s="123"/>
      <c r="BQ313" s="124" t="s">
        <v>218</v>
      </c>
      <c r="BR313" s="123"/>
      <c r="BS313" s="98"/>
    </row>
    <row r="314" spans="1:71" ht="15.75" thickTop="1">
      <c r="A314" s="4" t="s">
        <v>3</v>
      </c>
      <c r="B314" s="100">
        <v>157.12</v>
      </c>
      <c r="C314" s="5">
        <v>186.00899999999999</v>
      </c>
      <c r="D314" s="5">
        <v>240.19800000000001</v>
      </c>
      <c r="E314" s="110">
        <f>SUM(B314:D314)</f>
        <v>583.327</v>
      </c>
      <c r="F314" s="123">
        <f>D314/(B314+C314)</f>
        <v>0.7000224405398553</v>
      </c>
      <c r="G314" s="123">
        <f>B314/C314</f>
        <v>0.84469031068389178</v>
      </c>
      <c r="H314" s="125">
        <f>ABS((E317-E309)/E309)</f>
        <v>1.2281189409257807E-3</v>
      </c>
      <c r="J314" s="123">
        <v>0.1</v>
      </c>
      <c r="K314" s="123" t="s">
        <v>213</v>
      </c>
      <c r="L314" s="98"/>
      <c r="BG314" s="1"/>
      <c r="BH314" s="2" t="s">
        <v>8</v>
      </c>
      <c r="BI314" s="2" t="s">
        <v>9</v>
      </c>
      <c r="BJ314" s="2" t="s">
        <v>10</v>
      </c>
      <c r="BK314" s="3" t="s">
        <v>11</v>
      </c>
      <c r="BL314" s="103" t="s">
        <v>16</v>
      </c>
      <c r="BM314" s="103" t="s">
        <v>172</v>
      </c>
      <c r="BN314" s="124" t="s">
        <v>171</v>
      </c>
      <c r="BO314" s="123"/>
      <c r="BP314" s="123"/>
      <c r="BQ314" s="123">
        <v>0.03</v>
      </c>
      <c r="BR314" s="103" t="s">
        <v>212</v>
      </c>
      <c r="BS314" s="98" t="s">
        <v>240</v>
      </c>
    </row>
    <row r="315" spans="1:71">
      <c r="A315" s="4" t="s">
        <v>4</v>
      </c>
      <c r="B315" s="5">
        <v>184.93100000000001</v>
      </c>
      <c r="C315" s="5">
        <v>179.36799999999999</v>
      </c>
      <c r="D315" s="5">
        <v>255.017</v>
      </c>
      <c r="E315" s="112">
        <f t="shared" ref="E315:E316" si="774">SUM(B315:D315)</f>
        <v>619.31600000000003</v>
      </c>
      <c r="F315" s="123">
        <f t="shared" ref="F315:F317" si="775">D315/(B315+C315)</f>
        <v>0.70002113648404196</v>
      </c>
      <c r="G315" s="123">
        <f t="shared" ref="G315:G317" si="776">B315/C315</f>
        <v>1.0310144507381473</v>
      </c>
      <c r="J315" s="123">
        <v>0.1</v>
      </c>
      <c r="K315" s="123" t="s">
        <v>214</v>
      </c>
      <c r="L315" s="98"/>
      <c r="BG315" s="4" t="s">
        <v>3</v>
      </c>
      <c r="BH315" s="100">
        <v>5695</v>
      </c>
      <c r="BI315" s="5">
        <v>5989.02</v>
      </c>
      <c r="BJ315" s="5">
        <v>1311.39</v>
      </c>
      <c r="BK315" s="110">
        <f>SUM(BH315:BJ315)</f>
        <v>12995.41</v>
      </c>
      <c r="BL315" s="123">
        <f>BJ315/(BH315+BI315)</f>
        <v>0.11223791126684138</v>
      </c>
      <c r="BM315" s="123">
        <f>BH315/BI315</f>
        <v>0.95090682615853672</v>
      </c>
      <c r="BN315" s="125">
        <f>ABS((BK318-BK310)/BK310)</f>
        <v>1.734361132263308E-3</v>
      </c>
      <c r="BO315" s="123"/>
      <c r="BP315" s="123"/>
      <c r="BQ315" s="123">
        <f>BQ314</f>
        <v>0.03</v>
      </c>
      <c r="BR315" s="123" t="s">
        <v>213</v>
      </c>
      <c r="BS315" s="98" t="s">
        <v>241</v>
      </c>
    </row>
    <row r="316" spans="1:71">
      <c r="A316" s="4" t="s">
        <v>5</v>
      </c>
      <c r="B316" s="5">
        <v>241.27600000000001</v>
      </c>
      <c r="C316" s="5">
        <v>253.93899999999999</v>
      </c>
      <c r="D316" s="5">
        <v>346.661</v>
      </c>
      <c r="E316" s="108">
        <f t="shared" si="774"/>
        <v>841.87599999999998</v>
      </c>
      <c r="F316" s="123">
        <f t="shared" si="775"/>
        <v>0.70002120291186654</v>
      </c>
      <c r="G316" s="123">
        <f t="shared" si="776"/>
        <v>0.95013369352482291</v>
      </c>
      <c r="J316" s="103">
        <v>0.05</v>
      </c>
      <c r="K316" s="103" t="s">
        <v>215</v>
      </c>
      <c r="L316" s="98"/>
      <c r="BG316" s="4" t="s">
        <v>4</v>
      </c>
      <c r="BH316" s="5">
        <v>5965.58</v>
      </c>
      <c r="BI316" s="5">
        <v>5959</v>
      </c>
      <c r="BJ316" s="5">
        <v>1338.39</v>
      </c>
      <c r="BK316" s="112">
        <f t="shared" ref="BK316:BK317" si="777">SUM(BH316:BJ316)</f>
        <v>13262.97</v>
      </c>
      <c r="BL316" s="123">
        <f t="shared" ref="BL316:BL318" si="778">BJ316/(BH316+BI316)</f>
        <v>0.11223791529764571</v>
      </c>
      <c r="BM316" s="123">
        <f t="shared" ref="BM316:BM318" si="779">BH316/BI316</f>
        <v>1.0011042121161269</v>
      </c>
      <c r="BN316" s="123"/>
      <c r="BO316" s="123"/>
      <c r="BP316" s="123"/>
      <c r="BQ316" s="123">
        <f t="shared" ref="BQ316:BQ319" si="780">BQ315</f>
        <v>0.03</v>
      </c>
      <c r="BR316" s="123" t="s">
        <v>214</v>
      </c>
      <c r="BS316" s="98" t="s">
        <v>242</v>
      </c>
    </row>
    <row r="317" spans="1:71" ht="15.75" thickBot="1">
      <c r="A317" s="7"/>
      <c r="B317" s="111">
        <f>SUM(B314:B316)</f>
        <v>583.327</v>
      </c>
      <c r="C317" s="113">
        <f t="shared" ref="C317:D317" si="781">SUM(C314:C316)</f>
        <v>619.31599999999992</v>
      </c>
      <c r="D317" s="109">
        <f t="shared" si="781"/>
        <v>841.87599999999998</v>
      </c>
      <c r="E317" s="102">
        <f>SUM(E314:E316)</f>
        <v>2044.519</v>
      </c>
      <c r="F317" s="123">
        <f t="shared" si="775"/>
        <v>0.70002153590051241</v>
      </c>
      <c r="G317" s="123">
        <f t="shared" si="776"/>
        <v>0.9418891163800065</v>
      </c>
      <c r="J317" s="103">
        <v>0.05</v>
      </c>
      <c r="K317" s="103" t="s">
        <v>216</v>
      </c>
      <c r="L317" s="98"/>
      <c r="BG317" s="4" t="s">
        <v>5</v>
      </c>
      <c r="BH317" s="5">
        <v>1334.83</v>
      </c>
      <c r="BI317" s="5">
        <v>1314.95</v>
      </c>
      <c r="BJ317" s="5">
        <v>297.40499999999997</v>
      </c>
      <c r="BK317" s="108">
        <f t="shared" si="777"/>
        <v>2947.1849999999995</v>
      </c>
      <c r="BL317" s="123">
        <f t="shared" si="778"/>
        <v>0.11223761972692073</v>
      </c>
      <c r="BM317" s="123">
        <f t="shared" si="779"/>
        <v>1.0151184455682725</v>
      </c>
      <c r="BN317" s="123"/>
      <c r="BO317" s="123"/>
      <c r="BP317" s="123"/>
      <c r="BQ317" s="123">
        <f>BQ314*0.5</f>
        <v>1.4999999999999999E-2</v>
      </c>
      <c r="BR317" s="103" t="s">
        <v>215</v>
      </c>
      <c r="BS317" s="98" t="s">
        <v>243</v>
      </c>
    </row>
    <row r="318" spans="1:71" ht="16.5" thickTop="1" thickBot="1">
      <c r="A318" s="130"/>
      <c r="F318" s="124" t="s">
        <v>420</v>
      </c>
      <c r="G318" s="103">
        <f>AVERAGE(G314:G316)</f>
        <v>0.94194615164895401</v>
      </c>
      <c r="J318" s="103">
        <v>0.05</v>
      </c>
      <c r="K318" s="103" t="s">
        <v>217</v>
      </c>
      <c r="L318" s="98"/>
      <c r="BG318" s="7"/>
      <c r="BH318" s="111">
        <f>SUM(BH315:BH317)</f>
        <v>12995.41</v>
      </c>
      <c r="BI318" s="113">
        <f t="shared" ref="BI318:BJ318" si="782">SUM(BI315:BI317)</f>
        <v>13262.970000000001</v>
      </c>
      <c r="BJ318" s="109">
        <f t="shared" si="782"/>
        <v>2947.1850000000004</v>
      </c>
      <c r="BK318" s="102">
        <f>SUM(BK315:BK317)</f>
        <v>29205.564999999995</v>
      </c>
      <c r="BL318" s="123">
        <f t="shared" si="778"/>
        <v>0.11223788367751553</v>
      </c>
      <c r="BM318" s="123">
        <f t="shared" si="779"/>
        <v>0.97982653960613642</v>
      </c>
      <c r="BN318" s="123"/>
      <c r="BO318" s="123"/>
      <c r="BP318" s="123"/>
      <c r="BQ318" s="123">
        <f t="shared" si="780"/>
        <v>1.4999999999999999E-2</v>
      </c>
      <c r="BR318" s="103" t="s">
        <v>216</v>
      </c>
      <c r="BS318" s="98" t="s">
        <v>244</v>
      </c>
    </row>
    <row r="319" spans="1:71" ht="15.75" thickTop="1">
      <c r="A319" s="130" t="s">
        <v>12</v>
      </c>
      <c r="B319" s="123">
        <f>B314/B306</f>
        <v>0.96763068433758681</v>
      </c>
      <c r="C319" s="123" t="s">
        <v>163</v>
      </c>
      <c r="D319" s="123">
        <f>C314/C306</f>
        <v>1.0195681844342492</v>
      </c>
      <c r="E319" s="124" t="s">
        <v>255</v>
      </c>
      <c r="J319" s="137" t="s">
        <v>247</v>
      </c>
      <c r="L319" s="98"/>
      <c r="BG319" s="130"/>
      <c r="BH319" s="123"/>
      <c r="BI319" s="123"/>
      <c r="BJ319" s="123"/>
      <c r="BK319" s="123"/>
      <c r="BL319" s="124" t="s">
        <v>420</v>
      </c>
      <c r="BM319" s="103">
        <f>AVERAGE(BM315:BM317)</f>
        <v>0.9890431612809788</v>
      </c>
      <c r="BN319" s="123"/>
      <c r="BO319" s="123"/>
      <c r="BP319" s="123"/>
      <c r="BQ319" s="123">
        <f t="shared" si="780"/>
        <v>1.4999999999999999E-2</v>
      </c>
      <c r="BR319" s="103" t="s">
        <v>217</v>
      </c>
      <c r="BS319" s="98" t="s">
        <v>245</v>
      </c>
    </row>
    <row r="320" spans="1:71">
      <c r="A320" s="130" t="s">
        <v>13</v>
      </c>
      <c r="B320" s="123">
        <f t="shared" ref="B320:B321" si="783">B315/B307</f>
        <v>0.97680155078886355</v>
      </c>
      <c r="C320" s="123" t="s">
        <v>164</v>
      </c>
      <c r="D320" s="123">
        <f t="shared" ref="D320:D321" si="784">C315/C307</f>
        <v>1.0232409551952719</v>
      </c>
      <c r="E320" s="123">
        <f>VAR(G306:G308)</f>
        <v>9.0253022086550505E-3</v>
      </c>
      <c r="F320" s="124">
        <f>STDEV(G306:G308)/G310</f>
        <v>9.6462037851265461E-2</v>
      </c>
      <c r="G320" s="124" t="s">
        <v>449</v>
      </c>
      <c r="L320" s="98"/>
      <c r="BG320" s="130" t="s">
        <v>12</v>
      </c>
      <c r="BH320" s="123">
        <f>BH315/BH307</f>
        <v>0.99666960096464319</v>
      </c>
      <c r="BI320" s="123" t="s">
        <v>163</v>
      </c>
      <c r="BJ320" s="123">
        <f>BI315/BI307</f>
        <v>0.99938591953543487</v>
      </c>
      <c r="BK320" s="124" t="s">
        <v>255</v>
      </c>
      <c r="BL320" s="123"/>
      <c r="BM320" s="123"/>
      <c r="BN320" s="123"/>
      <c r="BO320" s="123"/>
      <c r="BP320" s="123"/>
      <c r="BQ320" s="133" t="s">
        <v>247</v>
      </c>
      <c r="BR320" s="123"/>
      <c r="BS320" s="98"/>
    </row>
    <row r="321" spans="1:71">
      <c r="A321" s="130" t="s">
        <v>14</v>
      </c>
      <c r="B321" s="123">
        <f t="shared" si="783"/>
        <v>0.98107990517588417</v>
      </c>
      <c r="C321" s="123" t="s">
        <v>165</v>
      </c>
      <c r="D321" s="123">
        <f t="shared" si="784"/>
        <v>1.0165855337955771</v>
      </c>
      <c r="G321" s="124" t="s">
        <v>438</v>
      </c>
      <c r="L321" s="98"/>
      <c r="BG321" s="130" t="s">
        <v>13</v>
      </c>
      <c r="BH321" s="123">
        <f t="shared" ref="BH321:BH322" si="785">BH316/BH308</f>
        <v>0.9968534909874156</v>
      </c>
      <c r="BI321" s="123" t="s">
        <v>164</v>
      </c>
      <c r="BJ321" s="123">
        <f t="shared" ref="BJ321:BJ322" si="786">BI316/BI308</f>
        <v>0.99932752083259957</v>
      </c>
      <c r="BK321" s="123">
        <f>VAR(BM307:BM309)</f>
        <v>1.1363289607921878E-3</v>
      </c>
      <c r="BL321" s="124">
        <f>STDEV(BM307:BM309)/BM311</f>
        <v>3.3996062565042465E-2</v>
      </c>
      <c r="BM321" s="124" t="s">
        <v>449</v>
      </c>
      <c r="BN321" s="123"/>
      <c r="BO321" s="123"/>
      <c r="BP321" s="123"/>
      <c r="BQ321" s="123"/>
      <c r="BR321" s="123"/>
      <c r="BS321" s="98"/>
    </row>
    <row r="322" spans="1:71">
      <c r="A322" s="130" t="s">
        <v>15</v>
      </c>
      <c r="B322" s="123">
        <f>E314/E306</f>
        <v>0.9760703983079777</v>
      </c>
      <c r="C322" s="123" t="s">
        <v>67</v>
      </c>
      <c r="D322" s="123">
        <f>E315/E307</f>
        <v>1.0194015429716112</v>
      </c>
      <c r="E322" s="124" t="s">
        <v>256</v>
      </c>
      <c r="L322" s="98"/>
      <c r="BG322" s="130" t="s">
        <v>14</v>
      </c>
      <c r="BH322" s="123">
        <f t="shared" si="785"/>
        <v>0.99682617916778682</v>
      </c>
      <c r="BI322" s="123" t="s">
        <v>165</v>
      </c>
      <c r="BJ322" s="123">
        <f t="shared" si="786"/>
        <v>0.99928565457599039</v>
      </c>
      <c r="BK322" s="123"/>
      <c r="BL322" s="123"/>
      <c r="BM322" s="124" t="s">
        <v>438</v>
      </c>
      <c r="BN322" s="123"/>
      <c r="BO322" s="123"/>
      <c r="BP322" s="123"/>
      <c r="BQ322" s="123"/>
      <c r="BR322" s="123"/>
      <c r="BS322" s="98"/>
    </row>
    <row r="323" spans="1:71">
      <c r="A323" s="130" t="s">
        <v>170</v>
      </c>
      <c r="B323" s="123">
        <f>VAR(B319:B321)</f>
        <v>4.7215108147563958E-5</v>
      </c>
      <c r="C323" s="123" t="s">
        <v>170</v>
      </c>
      <c r="D323" s="123">
        <f>VAR(D319:D321)</f>
        <v>1.1113347317151546E-5</v>
      </c>
      <c r="E323" s="123">
        <f>VAR(G314:G316)</f>
        <v>8.7294481732160811E-3</v>
      </c>
      <c r="F323" s="124">
        <f>STDEV(G314:G316)/G318</f>
        <v>9.918986960042403E-2</v>
      </c>
      <c r="G323" s="124" t="s">
        <v>449</v>
      </c>
      <c r="L323" s="98"/>
      <c r="BG323" s="130" t="s">
        <v>15</v>
      </c>
      <c r="BH323" s="123">
        <f>BK315/BK307</f>
        <v>0.99677085578457847</v>
      </c>
      <c r="BI323" s="123" t="s">
        <v>67</v>
      </c>
      <c r="BJ323" s="123">
        <f>BK316/BK308</f>
        <v>0.99934898629480517</v>
      </c>
      <c r="BK323" s="124" t="s">
        <v>256</v>
      </c>
      <c r="BL323" s="123"/>
      <c r="BM323" s="123"/>
      <c r="BN323" s="123"/>
      <c r="BO323" s="123"/>
      <c r="BP323" s="123"/>
      <c r="BQ323" s="123"/>
      <c r="BR323" s="123"/>
      <c r="BS323" s="98"/>
    </row>
    <row r="324" spans="1:71">
      <c r="A324" s="130"/>
      <c r="G324" s="124" t="s">
        <v>438</v>
      </c>
      <c r="L324" s="98"/>
      <c r="BG324" s="130" t="s">
        <v>170</v>
      </c>
      <c r="BH324" s="123">
        <f>VAR(BH320:BH322)</f>
        <v>9.8463682777271306E-9</v>
      </c>
      <c r="BI324" s="123" t="s">
        <v>170</v>
      </c>
      <c r="BJ324" s="123">
        <f>VAR(BJ320:BJ322)</f>
        <v>2.5360423379526932E-9</v>
      </c>
      <c r="BK324" s="123">
        <f>VAR(BM315:BM317)</f>
        <v>1.1398847272410251E-3</v>
      </c>
      <c r="BL324" s="124">
        <f>STDEV(BM315:BM317)/BM319</f>
        <v>3.4136203826686834E-2</v>
      </c>
      <c r="BM324" s="124" t="s">
        <v>449</v>
      </c>
      <c r="BN324" s="123"/>
      <c r="BO324" s="123"/>
      <c r="BP324" s="123"/>
      <c r="BQ324" s="123"/>
      <c r="BR324" s="123"/>
      <c r="BS324" s="98"/>
    </row>
    <row r="325" spans="1:71">
      <c r="A325" s="130"/>
      <c r="D325" s="123" t="s">
        <v>444</v>
      </c>
      <c r="L325" s="98"/>
      <c r="BG325" s="130"/>
      <c r="BH325" s="123"/>
      <c r="BI325" s="123"/>
      <c r="BJ325" s="123"/>
      <c r="BK325" s="123"/>
      <c r="BL325" s="123"/>
      <c r="BM325" s="124" t="s">
        <v>438</v>
      </c>
      <c r="BN325" s="123"/>
      <c r="BO325" s="123"/>
      <c r="BP325" s="123"/>
      <c r="BQ325" s="123"/>
      <c r="BR325" s="123"/>
      <c r="BS325" s="98"/>
    </row>
    <row r="326" spans="1:71">
      <c r="A326" s="130"/>
      <c r="B326" s="123">
        <f>B319</f>
        <v>0.96763068433758681</v>
      </c>
      <c r="D326" s="123">
        <f>ABS(C314-B315)/C314</f>
        <v>5.795418501255179E-3</v>
      </c>
      <c r="E326" s="123" t="s">
        <v>446</v>
      </c>
      <c r="L326" s="98"/>
      <c r="BG326" s="130"/>
      <c r="BH326" s="123"/>
      <c r="BI326" s="123"/>
      <c r="BJ326" s="123" t="s">
        <v>444</v>
      </c>
      <c r="BK326" s="123"/>
      <c r="BL326" s="123"/>
      <c r="BM326" s="123"/>
      <c r="BN326" s="123"/>
      <c r="BO326" s="123"/>
      <c r="BP326" s="123"/>
      <c r="BQ326" s="123"/>
      <c r="BR326" s="123"/>
      <c r="BS326" s="98"/>
    </row>
    <row r="327" spans="1:71">
      <c r="A327" s="130"/>
      <c r="B327" s="123">
        <f t="shared" ref="B327:B328" si="787">B320</f>
        <v>0.97680155078886355</v>
      </c>
      <c r="D327" s="123">
        <f>ABS((C306-B307)/C306)</f>
        <v>3.7733160124754112E-2</v>
      </c>
      <c r="E327" s="123" t="s">
        <v>445</v>
      </c>
      <c r="L327" s="98"/>
      <c r="BG327" s="130"/>
      <c r="BH327" s="123">
        <f>BH320</f>
        <v>0.99666960096464319</v>
      </c>
      <c r="BI327" s="123"/>
      <c r="BJ327" s="123">
        <f>ABS(BI315-BH316)/BI315</f>
        <v>3.9138289736886014E-3</v>
      </c>
      <c r="BK327" s="123" t="s">
        <v>446</v>
      </c>
      <c r="BL327" s="123"/>
      <c r="BM327" s="123"/>
      <c r="BN327" s="123"/>
      <c r="BO327" s="123"/>
      <c r="BP327" s="123"/>
      <c r="BQ327" s="123"/>
      <c r="BR327" s="123"/>
      <c r="BS327" s="98"/>
    </row>
    <row r="328" spans="1:71">
      <c r="A328" s="130"/>
      <c r="B328" s="123">
        <f t="shared" si="787"/>
        <v>0.98107990517588417</v>
      </c>
      <c r="L328" s="98"/>
      <c r="BG328" s="130"/>
      <c r="BH328" s="123">
        <f t="shared" ref="BH328:BH329" si="788">BH321</f>
        <v>0.9968534909874156</v>
      </c>
      <c r="BI328" s="123"/>
      <c r="BJ328" s="123">
        <f>ABS((BI307-BH308)/BI307)</f>
        <v>1.3833497421863207E-3</v>
      </c>
      <c r="BK328" s="123" t="s">
        <v>445</v>
      </c>
      <c r="BL328" s="123"/>
      <c r="BM328" s="123"/>
      <c r="BN328" s="123"/>
      <c r="BO328" s="123"/>
      <c r="BP328" s="123"/>
      <c r="BQ328" s="123"/>
      <c r="BR328" s="123"/>
      <c r="BS328" s="98"/>
    </row>
    <row r="329" spans="1:71">
      <c r="A329" s="130"/>
      <c r="B329" s="123">
        <f>D319</f>
        <v>1.0195681844342492</v>
      </c>
      <c r="L329" s="98"/>
      <c r="BG329" s="130"/>
      <c r="BH329" s="123">
        <f t="shared" si="788"/>
        <v>0.99682617916778682</v>
      </c>
      <c r="BI329" s="123"/>
      <c r="BJ329" s="123"/>
      <c r="BK329" s="123"/>
      <c r="BL329" s="123"/>
      <c r="BM329" s="123"/>
      <c r="BN329" s="123"/>
      <c r="BO329" s="123"/>
      <c r="BP329" s="123"/>
      <c r="BQ329" s="123"/>
      <c r="BR329" s="123"/>
      <c r="BS329" s="98"/>
    </row>
    <row r="330" spans="1:71">
      <c r="A330" s="130"/>
      <c r="B330" s="123">
        <f t="shared" ref="B330:B331" si="789">D320</f>
        <v>1.0232409551952719</v>
      </c>
      <c r="L330" s="98"/>
      <c r="BG330" s="130"/>
      <c r="BH330" s="123">
        <f>BJ320</f>
        <v>0.99938591953543487</v>
      </c>
      <c r="BI330" s="123"/>
      <c r="BJ330" s="123"/>
      <c r="BK330" s="123"/>
      <c r="BL330" s="123"/>
      <c r="BM330" s="123"/>
      <c r="BN330" s="123"/>
      <c r="BO330" s="123"/>
      <c r="BP330" s="123"/>
      <c r="BQ330" s="123"/>
      <c r="BR330" s="123"/>
      <c r="BS330" s="98"/>
    </row>
    <row r="331" spans="1:71">
      <c r="A331" s="130"/>
      <c r="B331" s="123">
        <f t="shared" si="789"/>
        <v>1.0165855337955771</v>
      </c>
      <c r="L331" s="98"/>
      <c r="BG331" s="130"/>
      <c r="BH331" s="123">
        <f t="shared" ref="BH331:BH332" si="790">BJ321</f>
        <v>0.99932752083259957</v>
      </c>
      <c r="BI331" s="123"/>
      <c r="BJ331" s="123"/>
      <c r="BK331" s="123"/>
      <c r="BL331" s="123"/>
      <c r="BM331" s="123"/>
      <c r="BN331" s="123"/>
      <c r="BO331" s="123"/>
      <c r="BP331" s="123"/>
      <c r="BQ331" s="123"/>
      <c r="BR331" s="123"/>
      <c r="BS331" s="98"/>
    </row>
    <row r="332" spans="1:71" ht="15.75" thickBot="1">
      <c r="A332" s="131" t="s">
        <v>170</v>
      </c>
      <c r="B332" s="126">
        <f>VAR(B326:B331)</f>
        <v>6.2081580469815071E-4</v>
      </c>
      <c r="C332" s="126"/>
      <c r="D332" s="126"/>
      <c r="E332" s="126"/>
      <c r="F332" s="126"/>
      <c r="G332" s="126"/>
      <c r="H332" s="126"/>
      <c r="I332" s="126"/>
      <c r="J332" s="126"/>
      <c r="K332" s="126"/>
      <c r="L332" s="127"/>
      <c r="BG332" s="130"/>
      <c r="BH332" s="123">
        <f t="shared" si="790"/>
        <v>0.99928565457599039</v>
      </c>
      <c r="BI332" s="123"/>
      <c r="BJ332" s="123"/>
      <c r="BK332" s="123"/>
      <c r="BL332" s="123"/>
      <c r="BM332" s="123"/>
      <c r="BN332" s="123"/>
      <c r="BO332" s="123"/>
      <c r="BP332" s="123"/>
      <c r="BQ332" s="123"/>
      <c r="BR332" s="123"/>
      <c r="BS332" s="98"/>
    </row>
    <row r="333" spans="1:71" ht="16.5" thickTop="1" thickBot="1">
      <c r="A333" s="128"/>
      <c r="B333" s="121"/>
      <c r="C333" s="121"/>
      <c r="D333" s="121"/>
      <c r="E333" s="121"/>
      <c r="F333" s="133" t="s">
        <v>239</v>
      </c>
      <c r="G333" s="121"/>
      <c r="H333" s="121"/>
      <c r="I333" s="124" t="s">
        <v>237</v>
      </c>
      <c r="J333" s="121"/>
      <c r="K333" s="121"/>
      <c r="L333" s="122"/>
      <c r="BG333" s="131" t="s">
        <v>170</v>
      </c>
      <c r="BH333" s="126">
        <f>VAR(BH327:BH332)</f>
        <v>1.9556131156122742E-6</v>
      </c>
      <c r="BI333" s="126"/>
      <c r="BJ333" s="126"/>
      <c r="BK333" s="126"/>
      <c r="BL333" s="126"/>
      <c r="BM333" s="126"/>
      <c r="BN333" s="126"/>
      <c r="BO333" s="126"/>
      <c r="BP333" s="126"/>
      <c r="BQ333" s="126"/>
      <c r="BR333" s="126"/>
      <c r="BS333" s="127"/>
    </row>
    <row r="334" spans="1:71" ht="16.5" thickTop="1" thickBot="1">
      <c r="A334" s="130" t="s">
        <v>167</v>
      </c>
      <c r="H334" s="123" t="s">
        <v>168</v>
      </c>
      <c r="L334" s="98"/>
      <c r="BG334" s="128"/>
      <c r="BH334" s="121"/>
      <c r="BI334" s="121"/>
      <c r="BJ334" s="121"/>
      <c r="BK334" s="121"/>
      <c r="BL334" s="133" t="s">
        <v>239</v>
      </c>
      <c r="BM334" s="121"/>
      <c r="BN334" s="121"/>
      <c r="BO334" s="124" t="s">
        <v>272</v>
      </c>
      <c r="BP334" s="121"/>
      <c r="BQ334" s="121"/>
      <c r="BR334" s="121"/>
      <c r="BS334" s="122"/>
    </row>
    <row r="335" spans="1:71" ht="16.5" thickTop="1" thickBot="1">
      <c r="A335" s="1"/>
      <c r="B335" s="2" t="s">
        <v>0</v>
      </c>
      <c r="C335" s="2" t="s">
        <v>1</v>
      </c>
      <c r="D335" s="2" t="s">
        <v>2</v>
      </c>
      <c r="E335" s="3" t="s">
        <v>6</v>
      </c>
      <c r="F335" s="103" t="s">
        <v>70</v>
      </c>
      <c r="G335" s="103" t="s">
        <v>172</v>
      </c>
      <c r="H335" s="123" t="s">
        <v>3</v>
      </c>
      <c r="I335" s="123">
        <v>6</v>
      </c>
      <c r="K335" s="123" t="s">
        <v>19</v>
      </c>
      <c r="L335" s="98">
        <v>0.38658100000000001</v>
      </c>
      <c r="BG335" s="130" t="s">
        <v>167</v>
      </c>
      <c r="BH335" s="123"/>
      <c r="BI335" s="123"/>
      <c r="BJ335" s="123"/>
      <c r="BK335" s="123"/>
      <c r="BL335" s="123"/>
      <c r="BM335" s="123"/>
      <c r="BN335" s="123" t="s">
        <v>168</v>
      </c>
      <c r="BO335" s="123"/>
      <c r="BP335" s="123"/>
      <c r="BQ335" s="123"/>
      <c r="BR335" s="123"/>
      <c r="BS335" s="98"/>
    </row>
    <row r="336" spans="1:71" ht="15.75" thickTop="1">
      <c r="A336" s="4" t="s">
        <v>3</v>
      </c>
      <c r="B336" s="100">
        <v>620.18200000000002</v>
      </c>
      <c r="C336" s="5">
        <v>541.57899999999995</v>
      </c>
      <c r="D336" s="5">
        <v>452.73099999999999</v>
      </c>
      <c r="E336" s="104">
        <f>SUM(B336:D336)</f>
        <v>1614.492</v>
      </c>
      <c r="F336" s="123">
        <f>D336/C336</f>
        <v>0.83594637162814667</v>
      </c>
      <c r="G336" s="123">
        <f>B336/C336</f>
        <v>1.1451367205892402</v>
      </c>
      <c r="H336" s="123" t="s">
        <v>4</v>
      </c>
      <c r="I336" s="123">
        <v>12</v>
      </c>
      <c r="L336" s="98"/>
      <c r="BG336" s="1"/>
      <c r="BH336" s="2" t="s">
        <v>0</v>
      </c>
      <c r="BI336" s="2" t="s">
        <v>1</v>
      </c>
      <c r="BJ336" s="2" t="s">
        <v>2</v>
      </c>
      <c r="BK336" s="3" t="s">
        <v>6</v>
      </c>
      <c r="BL336" s="103" t="s">
        <v>70</v>
      </c>
      <c r="BM336" s="103" t="s">
        <v>172</v>
      </c>
      <c r="BN336" s="123" t="s">
        <v>3</v>
      </c>
      <c r="BO336" s="123">
        <v>30</v>
      </c>
      <c r="BP336" s="123"/>
      <c r="BQ336" s="123" t="s">
        <v>19</v>
      </c>
      <c r="BR336" s="123">
        <v>0.50692000000000004</v>
      </c>
      <c r="BS336" s="98"/>
    </row>
    <row r="337" spans="1:71">
      <c r="A337" s="4" t="s">
        <v>4</v>
      </c>
      <c r="B337" s="5">
        <v>589.25199999999995</v>
      </c>
      <c r="C337" s="5">
        <v>491.315</v>
      </c>
      <c r="D337" s="5">
        <v>410.71300000000002</v>
      </c>
      <c r="E337" s="106">
        <f t="shared" ref="E337:E339" si="791">SUM(B337:D337)</f>
        <v>1491.28</v>
      </c>
      <c r="F337" s="123">
        <f t="shared" ref="F337:F339" si="792">D337/C337</f>
        <v>0.83594638877298688</v>
      </c>
      <c r="G337" s="123">
        <f t="shared" ref="G337:G339" si="793">B337/C337</f>
        <v>1.1993364745631621</v>
      </c>
      <c r="H337" s="123" t="s">
        <v>5</v>
      </c>
      <c r="I337" s="123">
        <v>4</v>
      </c>
      <c r="L337" s="98"/>
      <c r="BG337" s="4" t="s">
        <v>3</v>
      </c>
      <c r="BH337" s="100">
        <v>898.37800000000004</v>
      </c>
      <c r="BI337" s="5">
        <v>872.22199999999998</v>
      </c>
      <c r="BJ337" s="5">
        <v>891.88800000000003</v>
      </c>
      <c r="BK337" s="104">
        <f>SUM(BH337:BJ337)</f>
        <v>2662.4879999999998</v>
      </c>
      <c r="BL337" s="123">
        <f>BJ337/BI337</f>
        <v>1.0225470121138884</v>
      </c>
      <c r="BM337" s="123">
        <f>BH337/BI337</f>
        <v>1.0299877783408353</v>
      </c>
      <c r="BN337" s="123" t="s">
        <v>4</v>
      </c>
      <c r="BO337" s="123">
        <v>60</v>
      </c>
      <c r="BP337" s="123"/>
      <c r="BQ337" s="123"/>
      <c r="BR337" s="123"/>
      <c r="BS337" s="98"/>
    </row>
    <row r="338" spans="1:71">
      <c r="A338" s="4" t="s">
        <v>5</v>
      </c>
      <c r="B338" s="5">
        <v>405.05700000000002</v>
      </c>
      <c r="C338" s="5">
        <v>458.38600000000002</v>
      </c>
      <c r="D338" s="5">
        <v>383.18599999999998</v>
      </c>
      <c r="E338" s="108">
        <f t="shared" si="791"/>
        <v>1246.6289999999999</v>
      </c>
      <c r="F338" s="123">
        <f t="shared" si="792"/>
        <v>0.83594612400902291</v>
      </c>
      <c r="G338" s="123">
        <f t="shared" si="793"/>
        <v>0.88365918679889877</v>
      </c>
      <c r="L338" s="98"/>
      <c r="BG338" s="4" t="s">
        <v>4</v>
      </c>
      <c r="BH338" s="5">
        <v>859.04700000000003</v>
      </c>
      <c r="BI338" s="5">
        <v>853.52800000000002</v>
      </c>
      <c r="BJ338" s="5">
        <v>872.77200000000005</v>
      </c>
      <c r="BK338" s="106">
        <f t="shared" ref="BK338:BK340" si="794">SUM(BH338:BJ338)</f>
        <v>2585.3470000000002</v>
      </c>
      <c r="BL338" s="123">
        <f t="shared" ref="BL338:BL340" si="795">BJ338/BI338</f>
        <v>1.0225464190981433</v>
      </c>
      <c r="BM338" s="123">
        <f t="shared" ref="BM338:BM340" si="796">BH338/BI338</f>
        <v>1.0064661030452429</v>
      </c>
      <c r="BN338" s="123" t="s">
        <v>5</v>
      </c>
      <c r="BO338" s="123">
        <v>25</v>
      </c>
      <c r="BP338" s="123"/>
      <c r="BQ338" s="123"/>
      <c r="BR338" s="123"/>
      <c r="BS338" s="98"/>
    </row>
    <row r="339" spans="1:71" ht="15.75" thickBot="1">
      <c r="A339" s="7"/>
      <c r="B339" s="105">
        <f>SUM(B336:B338)</f>
        <v>1614.491</v>
      </c>
      <c r="C339" s="107">
        <f>SUM(C336:C338)</f>
        <v>1491.28</v>
      </c>
      <c r="D339" s="109">
        <f>SUM(D336:D338)</f>
        <v>1246.6299999999999</v>
      </c>
      <c r="E339" s="101">
        <f t="shared" si="791"/>
        <v>4352.4009999999998</v>
      </c>
      <c r="F339" s="123">
        <f t="shared" si="792"/>
        <v>0.83594630116410062</v>
      </c>
      <c r="G339" s="123">
        <f t="shared" si="793"/>
        <v>1.082620969905048</v>
      </c>
      <c r="L339" s="98"/>
      <c r="BG339" s="4" t="s">
        <v>5</v>
      </c>
      <c r="BH339" s="5">
        <v>905.06299999999999</v>
      </c>
      <c r="BI339" s="5">
        <v>859.596</v>
      </c>
      <c r="BJ339" s="5">
        <v>878.97699999999998</v>
      </c>
      <c r="BK339" s="108">
        <f t="shared" si="794"/>
        <v>2643.636</v>
      </c>
      <c r="BL339" s="123">
        <f t="shared" si="795"/>
        <v>1.022546638188172</v>
      </c>
      <c r="BM339" s="123">
        <f t="shared" si="796"/>
        <v>1.0528934522729283</v>
      </c>
      <c r="BN339" s="123"/>
      <c r="BO339" s="123"/>
      <c r="BP339" s="123"/>
      <c r="BQ339" s="123"/>
      <c r="BR339" s="123"/>
      <c r="BS339" s="98"/>
    </row>
    <row r="340" spans="1:71" ht="16.5" thickTop="1" thickBot="1">
      <c r="A340" s="130"/>
      <c r="F340" s="124" t="s">
        <v>420</v>
      </c>
      <c r="G340" s="103">
        <f>AVERAGE(G336:G338)</f>
        <v>1.0760441273171004</v>
      </c>
      <c r="L340" s="98"/>
      <c r="BG340" s="7"/>
      <c r="BH340" s="105">
        <f>SUM(BH337:BH339)</f>
        <v>2662.4880000000003</v>
      </c>
      <c r="BI340" s="107">
        <f>SUM(BI337:BI339)</f>
        <v>2585.346</v>
      </c>
      <c r="BJ340" s="109">
        <f>SUM(BJ337:BJ339)</f>
        <v>2643.6370000000002</v>
      </c>
      <c r="BK340" s="101">
        <f t="shared" si="794"/>
        <v>7891.4710000000014</v>
      </c>
      <c r="BL340" s="123">
        <f t="shared" si="795"/>
        <v>1.0225466920095028</v>
      </c>
      <c r="BM340" s="123">
        <f t="shared" si="796"/>
        <v>1.0298381725308723</v>
      </c>
      <c r="BN340" s="123"/>
      <c r="BO340" s="123"/>
      <c r="BP340" s="123"/>
      <c r="BQ340" s="123"/>
      <c r="BR340" s="123"/>
      <c r="BS340" s="98"/>
    </row>
    <row r="341" spans="1:71" ht="15.75" thickTop="1">
      <c r="A341" s="130"/>
      <c r="L341" s="98"/>
      <c r="BG341" s="130"/>
      <c r="BH341" s="123"/>
      <c r="BI341" s="123"/>
      <c r="BJ341" s="123"/>
      <c r="BK341" s="123"/>
      <c r="BL341" s="124" t="s">
        <v>420</v>
      </c>
      <c r="BM341" s="103">
        <f>AVERAGE(BM337:BM339)</f>
        <v>1.0297824445530022</v>
      </c>
      <c r="BN341" s="123"/>
      <c r="BO341" s="123"/>
      <c r="BP341" s="123"/>
      <c r="BQ341" s="123"/>
      <c r="BR341" s="123"/>
      <c r="BS341" s="98"/>
    </row>
    <row r="342" spans="1:71" ht="15.75" thickBot="1">
      <c r="A342" s="140" t="s">
        <v>254</v>
      </c>
      <c r="J342" s="124" t="s">
        <v>218</v>
      </c>
      <c r="L342" s="98"/>
      <c r="BG342" s="130"/>
      <c r="BH342" s="123"/>
      <c r="BI342" s="123"/>
      <c r="BJ342" s="123"/>
      <c r="BK342" s="123"/>
      <c r="BL342" s="123"/>
      <c r="BM342" s="123"/>
      <c r="BN342" s="123"/>
      <c r="BO342" s="123"/>
      <c r="BP342" s="123"/>
      <c r="BQ342" s="123"/>
      <c r="BR342" s="123"/>
      <c r="BS342" s="98"/>
    </row>
    <row r="343" spans="1:71" ht="16.5" thickTop="1" thickBot="1">
      <c r="A343" s="1"/>
      <c r="B343" s="2" t="s">
        <v>8</v>
      </c>
      <c r="C343" s="2" t="s">
        <v>9</v>
      </c>
      <c r="D343" s="2" t="s">
        <v>10</v>
      </c>
      <c r="E343" s="3" t="s">
        <v>11</v>
      </c>
      <c r="F343" s="103" t="s">
        <v>16</v>
      </c>
      <c r="G343" s="103" t="s">
        <v>172</v>
      </c>
      <c r="H343" s="124" t="s">
        <v>171</v>
      </c>
      <c r="J343" s="123">
        <v>0.12</v>
      </c>
      <c r="K343" s="103" t="s">
        <v>212</v>
      </c>
      <c r="L343" s="98" t="s">
        <v>240</v>
      </c>
      <c r="BG343" s="140" t="s">
        <v>254</v>
      </c>
      <c r="BH343" s="123"/>
      <c r="BI343" s="123"/>
      <c r="BJ343" s="123"/>
      <c r="BK343" s="123"/>
      <c r="BL343" s="123"/>
      <c r="BM343" s="123"/>
      <c r="BN343" s="123"/>
      <c r="BO343" s="123"/>
      <c r="BP343" s="123"/>
      <c r="BQ343" s="124" t="s">
        <v>218</v>
      </c>
      <c r="BR343" s="123"/>
      <c r="BS343" s="98"/>
    </row>
    <row r="344" spans="1:71" ht="15.75" thickTop="1">
      <c r="A344" s="4" t="s">
        <v>3</v>
      </c>
      <c r="B344" s="100">
        <v>641.78200000000004</v>
      </c>
      <c r="C344" s="5">
        <v>564.66899999999998</v>
      </c>
      <c r="D344" s="5">
        <v>466.39100000000002</v>
      </c>
      <c r="E344" s="110">
        <f>SUM(B344:D344)</f>
        <v>1672.8420000000001</v>
      </c>
      <c r="F344" s="123">
        <f>D344/(B344+C344)</f>
        <v>0.38658097179247231</v>
      </c>
      <c r="G344" s="123">
        <f>B344/C344</f>
        <v>1.1365631901166879</v>
      </c>
      <c r="H344" s="125">
        <f>ABS((E347-E339)/E339)</f>
        <v>2.7338473637884074E-2</v>
      </c>
      <c r="J344" s="123">
        <v>0.12</v>
      </c>
      <c r="K344" s="123" t="s">
        <v>213</v>
      </c>
      <c r="L344" s="98" t="s">
        <v>241</v>
      </c>
      <c r="BG344" s="1"/>
      <c r="BH344" s="2" t="s">
        <v>8</v>
      </c>
      <c r="BI344" s="2" t="s">
        <v>9</v>
      </c>
      <c r="BJ344" s="2" t="s">
        <v>10</v>
      </c>
      <c r="BK344" s="3" t="s">
        <v>11</v>
      </c>
      <c r="BL344" s="103" t="s">
        <v>16</v>
      </c>
      <c r="BM344" s="103" t="s">
        <v>172</v>
      </c>
      <c r="BN344" s="124" t="s">
        <v>171</v>
      </c>
      <c r="BO344" s="123"/>
      <c r="BP344" s="123"/>
      <c r="BQ344" s="123">
        <v>2.1999999999999999E-2</v>
      </c>
      <c r="BR344" s="103" t="s">
        <v>212</v>
      </c>
      <c r="BS344" s="98" t="s">
        <v>240</v>
      </c>
    </row>
    <row r="345" spans="1:71">
      <c r="A345" s="4" t="s">
        <v>4</v>
      </c>
      <c r="B345" s="5">
        <v>609.88499999999999</v>
      </c>
      <c r="C345" s="5">
        <v>509.35599999999999</v>
      </c>
      <c r="D345" s="5">
        <v>432.67700000000002</v>
      </c>
      <c r="E345" s="112">
        <f t="shared" ref="E345:E346" si="797">SUM(B345:D345)</f>
        <v>1551.9180000000001</v>
      </c>
      <c r="F345" s="123">
        <f t="shared" ref="F345:F347" si="798">D345/(B345+C345)</f>
        <v>0.38658072747513722</v>
      </c>
      <c r="G345" s="123">
        <f t="shared" ref="G345:G347" si="799">B345/C345</f>
        <v>1.1973649078444153</v>
      </c>
      <c r="J345" s="123">
        <v>0.12</v>
      </c>
      <c r="K345" s="123" t="s">
        <v>214</v>
      </c>
      <c r="L345" s="98" t="s">
        <v>242</v>
      </c>
      <c r="BG345" s="4" t="s">
        <v>3</v>
      </c>
      <c r="BH345" s="100">
        <v>894.49699999999996</v>
      </c>
      <c r="BI345" s="5">
        <v>864.86400000000003</v>
      </c>
      <c r="BJ345" s="5">
        <v>891.85500000000002</v>
      </c>
      <c r="BK345" s="110">
        <f>SUM(BH345:BJ345)</f>
        <v>2651.2159999999999</v>
      </c>
      <c r="BL345" s="123">
        <f>BJ345/(BH345+BI345)</f>
        <v>0.50691984191987893</v>
      </c>
      <c r="BM345" s="123">
        <f>BH345/BI345</f>
        <v>1.0342631905131905</v>
      </c>
      <c r="BN345" s="125">
        <f>ABS((BK348-BK340)/BK340)</f>
        <v>4.1486561884344995E-3</v>
      </c>
      <c r="BO345" s="123"/>
      <c r="BP345" s="123"/>
      <c r="BQ345" s="123">
        <f>BQ344</f>
        <v>2.1999999999999999E-2</v>
      </c>
      <c r="BR345" s="123" t="s">
        <v>213</v>
      </c>
      <c r="BS345" s="98" t="s">
        <v>241</v>
      </c>
    </row>
    <row r="346" spans="1:71">
      <c r="A346" s="4" t="s">
        <v>5</v>
      </c>
      <c r="B346" s="5">
        <v>421.17399999999998</v>
      </c>
      <c r="C346" s="5">
        <v>477.89299999999997</v>
      </c>
      <c r="D346" s="5">
        <v>347.56200000000001</v>
      </c>
      <c r="E346" s="108">
        <f t="shared" si="797"/>
        <v>1246.6289999999999</v>
      </c>
      <c r="F346" s="123">
        <f t="shared" si="798"/>
        <v>0.38658075538308045</v>
      </c>
      <c r="G346" s="123">
        <f t="shared" si="799"/>
        <v>0.88131443649519869</v>
      </c>
      <c r="J346" s="103">
        <v>0.06</v>
      </c>
      <c r="K346" s="103" t="s">
        <v>215</v>
      </c>
      <c r="L346" s="98" t="s">
        <v>243</v>
      </c>
      <c r="BG346" s="4" t="s">
        <v>4</v>
      </c>
      <c r="BH346" s="5">
        <v>855.09199999999998</v>
      </c>
      <c r="BI346" s="5">
        <v>846.31200000000001</v>
      </c>
      <c r="BJ346" s="5">
        <v>862.476</v>
      </c>
      <c r="BK346" s="112">
        <f t="shared" ref="BK346:BK347" si="800">SUM(BH346:BJ346)</f>
        <v>2563.88</v>
      </c>
      <c r="BL346" s="123">
        <f t="shared" ref="BL346:BL348" si="801">BJ346/(BH346+BI346)</f>
        <v>0.50692016710904642</v>
      </c>
      <c r="BM346" s="123">
        <f t="shared" ref="BM346:BM348" si="802">BH346/BI346</f>
        <v>1.0103744245621</v>
      </c>
      <c r="BN346" s="123"/>
      <c r="BO346" s="123"/>
      <c r="BP346" s="123"/>
      <c r="BQ346" s="123">
        <f t="shared" ref="BQ346:BQ349" si="803">BQ345</f>
        <v>2.1999999999999999E-2</v>
      </c>
      <c r="BR346" s="123" t="s">
        <v>214</v>
      </c>
      <c r="BS346" s="98" t="s">
        <v>242</v>
      </c>
    </row>
    <row r="347" spans="1:71" ht="15.75" thickBot="1">
      <c r="A347" s="7"/>
      <c r="B347" s="111">
        <f>SUM(B344:B346)</f>
        <v>1672.8409999999999</v>
      </c>
      <c r="C347" s="113">
        <f t="shared" ref="C347:D347" si="804">SUM(C344:C346)</f>
        <v>1551.9180000000001</v>
      </c>
      <c r="D347" s="109">
        <f t="shared" si="804"/>
        <v>1246.6300000000001</v>
      </c>
      <c r="E347" s="102">
        <f>SUM(E344:E346)</f>
        <v>4471.3890000000001</v>
      </c>
      <c r="F347" s="123">
        <f t="shared" si="798"/>
        <v>0.38658082666022486</v>
      </c>
      <c r="G347" s="123">
        <f t="shared" si="799"/>
        <v>1.0779184209474983</v>
      </c>
      <c r="J347" s="103">
        <v>0.06</v>
      </c>
      <c r="K347" s="103" t="s">
        <v>216</v>
      </c>
      <c r="L347" s="98" t="s">
        <v>244</v>
      </c>
      <c r="BG347" s="4" t="s">
        <v>5</v>
      </c>
      <c r="BH347" s="5">
        <v>901.62699999999995</v>
      </c>
      <c r="BI347" s="5">
        <v>852.70399999999995</v>
      </c>
      <c r="BJ347" s="5">
        <v>889.30499999999995</v>
      </c>
      <c r="BK347" s="108">
        <f t="shared" si="800"/>
        <v>2643.636</v>
      </c>
      <c r="BL347" s="123">
        <f t="shared" si="801"/>
        <v>0.50691973179519711</v>
      </c>
      <c r="BM347" s="123">
        <f t="shared" si="802"/>
        <v>1.057373953916013</v>
      </c>
      <c r="BN347" s="123"/>
      <c r="BO347" s="123"/>
      <c r="BP347" s="123"/>
      <c r="BQ347" s="123">
        <f>BQ344*0.5</f>
        <v>1.0999999999999999E-2</v>
      </c>
      <c r="BR347" s="103" t="s">
        <v>215</v>
      </c>
      <c r="BS347" s="98" t="s">
        <v>243</v>
      </c>
    </row>
    <row r="348" spans="1:71" ht="16.5" thickTop="1" thickBot="1">
      <c r="A348" s="130"/>
      <c r="F348" s="124" t="s">
        <v>420</v>
      </c>
      <c r="G348" s="103">
        <f>AVERAGE(G344:G346)</f>
        <v>1.071747511485434</v>
      </c>
      <c r="J348" s="103">
        <v>0.06</v>
      </c>
      <c r="K348" s="103" t="s">
        <v>217</v>
      </c>
      <c r="L348" s="98" t="s">
        <v>245</v>
      </c>
      <c r="BG348" s="7"/>
      <c r="BH348" s="111">
        <f>SUM(BH345:BH347)</f>
        <v>2651.2159999999999</v>
      </c>
      <c r="BI348" s="113">
        <f t="shared" ref="BI348:BJ348" si="805">SUM(BI345:BI347)</f>
        <v>2563.88</v>
      </c>
      <c r="BJ348" s="109">
        <f t="shared" si="805"/>
        <v>2643.636</v>
      </c>
      <c r="BK348" s="102">
        <f>SUM(BK345:BK347)</f>
        <v>7858.732</v>
      </c>
      <c r="BL348" s="123">
        <f t="shared" si="801"/>
        <v>0.5069199109661644</v>
      </c>
      <c r="BM348" s="123">
        <f t="shared" si="802"/>
        <v>1.0340639967549183</v>
      </c>
      <c r="BN348" s="123"/>
      <c r="BO348" s="123"/>
      <c r="BP348" s="123"/>
      <c r="BQ348" s="123">
        <f t="shared" si="803"/>
        <v>1.0999999999999999E-2</v>
      </c>
      <c r="BR348" s="103" t="s">
        <v>216</v>
      </c>
      <c r="BS348" s="98" t="s">
        <v>244</v>
      </c>
    </row>
    <row r="349" spans="1:71" ht="15.75" thickTop="1">
      <c r="A349" s="130" t="s">
        <v>12</v>
      </c>
      <c r="B349" s="123">
        <f>B344/B336</f>
        <v>1.0348284858315786</v>
      </c>
      <c r="C349" s="123" t="s">
        <v>163</v>
      </c>
      <c r="D349" s="123">
        <f>C344/C336</f>
        <v>1.0426345925525178</v>
      </c>
      <c r="E349" s="124" t="s">
        <v>255</v>
      </c>
      <c r="J349" s="137" t="s">
        <v>247</v>
      </c>
      <c r="L349" s="98"/>
      <c r="BG349" s="130"/>
      <c r="BH349" s="123"/>
      <c r="BI349" s="123"/>
      <c r="BJ349" s="123"/>
      <c r="BK349" s="123"/>
      <c r="BL349" s="124" t="s">
        <v>420</v>
      </c>
      <c r="BM349" s="103">
        <f>AVERAGE(BM345:BM347)</f>
        <v>1.0340038563304346</v>
      </c>
      <c r="BN349" s="123"/>
      <c r="BO349" s="123"/>
      <c r="BP349" s="123"/>
      <c r="BQ349" s="123">
        <f t="shared" si="803"/>
        <v>1.0999999999999999E-2</v>
      </c>
      <c r="BR349" s="103" t="s">
        <v>217</v>
      </c>
      <c r="BS349" s="98" t="s">
        <v>245</v>
      </c>
    </row>
    <row r="350" spans="1:71">
      <c r="A350" s="130" t="s">
        <v>13</v>
      </c>
      <c r="B350" s="123">
        <f t="shared" ref="B350:B351" si="806">B345/B337</f>
        <v>1.0350155790731301</v>
      </c>
      <c r="C350" s="123" t="s">
        <v>164</v>
      </c>
      <c r="D350" s="123">
        <f t="shared" ref="D350:D351" si="807">C345/C337</f>
        <v>1.036719823331264</v>
      </c>
      <c r="E350" s="123">
        <f>VAR(G336:G338)</f>
        <v>2.8493377336352266E-2</v>
      </c>
      <c r="F350" s="124">
        <f>STDEV(G336:G338)/G340</f>
        <v>0.15687071756591991</v>
      </c>
      <c r="G350" s="124" t="s">
        <v>449</v>
      </c>
      <c r="L350" s="98"/>
      <c r="BG350" s="130" t="s">
        <v>12</v>
      </c>
      <c r="BH350" s="123">
        <f>BH345/BH337</f>
        <v>0.99567999216365488</v>
      </c>
      <c r="BI350" s="123" t="s">
        <v>163</v>
      </c>
      <c r="BJ350" s="123">
        <f>BI345/BI337</f>
        <v>0.99156407428384064</v>
      </c>
      <c r="BK350" s="124" t="s">
        <v>255</v>
      </c>
      <c r="BL350" s="123"/>
      <c r="BM350" s="123"/>
      <c r="BN350" s="123"/>
      <c r="BO350" s="123"/>
      <c r="BP350" s="123"/>
      <c r="BQ350" s="133" t="s">
        <v>247</v>
      </c>
      <c r="BR350" s="123"/>
      <c r="BS350" s="98"/>
    </row>
    <row r="351" spans="1:71">
      <c r="A351" s="130" t="s">
        <v>14</v>
      </c>
      <c r="B351" s="123">
        <f t="shared" si="806"/>
        <v>1.0397894617300774</v>
      </c>
      <c r="C351" s="123" t="s">
        <v>165</v>
      </c>
      <c r="D351" s="123">
        <f t="shared" si="807"/>
        <v>1.0425558372201593</v>
      </c>
      <c r="G351" s="124" t="s">
        <v>438</v>
      </c>
      <c r="L351" s="98"/>
      <c r="BG351" s="130" t="s">
        <v>13</v>
      </c>
      <c r="BH351" s="123">
        <f t="shared" ref="BH351:BH352" si="808">BH346/BH338</f>
        <v>0.99539606098385769</v>
      </c>
      <c r="BI351" s="123" t="s">
        <v>164</v>
      </c>
      <c r="BJ351" s="123">
        <f t="shared" ref="BJ351:BJ352" si="809">BI346/BI338</f>
        <v>0.99154567864205978</v>
      </c>
      <c r="BK351" s="123">
        <f>VAR(BM337:BM339)</f>
        <v>5.3890631055068523E-4</v>
      </c>
      <c r="BL351" s="124">
        <f>STDEV(BM337:BM339)/BM341</f>
        <v>2.2542970918235226E-2</v>
      </c>
      <c r="BM351" s="124" t="s">
        <v>449</v>
      </c>
      <c r="BN351" s="123"/>
      <c r="BO351" s="123"/>
      <c r="BP351" s="123"/>
      <c r="BQ351" s="123"/>
      <c r="BR351" s="123"/>
      <c r="BS351" s="98"/>
    </row>
    <row r="352" spans="1:71">
      <c r="A352" s="130" t="s">
        <v>15</v>
      </c>
      <c r="B352" s="123">
        <f>E344/E336</f>
        <v>1.0361413992760573</v>
      </c>
      <c r="C352" s="123" t="s">
        <v>67</v>
      </c>
      <c r="D352" s="123">
        <f>E345/E337</f>
        <v>1.0406617134273914</v>
      </c>
      <c r="E352" s="124" t="s">
        <v>256</v>
      </c>
      <c r="L352" s="98"/>
      <c r="BG352" s="130" t="s">
        <v>14</v>
      </c>
      <c r="BH352" s="123">
        <f t="shared" si="808"/>
        <v>0.99620357919835412</v>
      </c>
      <c r="BI352" s="123" t="s">
        <v>165</v>
      </c>
      <c r="BJ352" s="123">
        <f t="shared" si="809"/>
        <v>0.9919822800478364</v>
      </c>
      <c r="BK352" s="123"/>
      <c r="BL352" s="123"/>
      <c r="BM352" s="124" t="s">
        <v>438</v>
      </c>
      <c r="BN352" s="123"/>
      <c r="BO352" s="123"/>
      <c r="BP352" s="123"/>
      <c r="BQ352" s="123"/>
      <c r="BR352" s="123"/>
      <c r="BS352" s="98"/>
    </row>
    <row r="353" spans="1:71">
      <c r="A353" s="130" t="s">
        <v>170</v>
      </c>
      <c r="B353" s="123">
        <f>VAR(B349:B351)</f>
        <v>7.9060402281368805E-6</v>
      </c>
      <c r="C353" s="123" t="s">
        <v>170</v>
      </c>
      <c r="D353" s="123">
        <f>VAR(D349:D351)</f>
        <v>1.1508292575740833E-5</v>
      </c>
      <c r="E353" s="123">
        <f>VAR(G344:G346)</f>
        <v>2.8122779257337305E-2</v>
      </c>
      <c r="F353" s="124">
        <f>STDEV(G344:G346)/G348</f>
        <v>0.15647200054978139</v>
      </c>
      <c r="G353" s="124" t="s">
        <v>449</v>
      </c>
      <c r="L353" s="98"/>
      <c r="BG353" s="130" t="s">
        <v>15</v>
      </c>
      <c r="BH353" s="123">
        <f>BK345/BK337</f>
        <v>0.99576636589535805</v>
      </c>
      <c r="BI353" s="123" t="s">
        <v>67</v>
      </c>
      <c r="BJ353" s="123">
        <f>BK346/BK338</f>
        <v>0.99169666586342176</v>
      </c>
      <c r="BK353" s="124" t="s">
        <v>256</v>
      </c>
      <c r="BL353" s="123"/>
      <c r="BM353" s="123"/>
      <c r="BN353" s="123"/>
      <c r="BO353" s="123"/>
      <c r="BP353" s="123"/>
      <c r="BQ353" s="123"/>
      <c r="BR353" s="123"/>
      <c r="BS353" s="98"/>
    </row>
    <row r="354" spans="1:71">
      <c r="A354" s="130"/>
      <c r="G354" s="124" t="s">
        <v>438</v>
      </c>
      <c r="L354" s="98"/>
      <c r="BG354" s="130" t="s">
        <v>170</v>
      </c>
      <c r="BH354" s="123">
        <f>VAR(BH350:BH352)</f>
        <v>1.6780766075161042E-7</v>
      </c>
      <c r="BI354" s="123" t="s">
        <v>170</v>
      </c>
      <c r="BJ354" s="123">
        <f>VAR(BJ350:BJ352)</f>
        <v>6.0975874700320669E-8</v>
      </c>
      <c r="BK354" s="123">
        <f>VAR(BM345:BM347)</f>
        <v>5.5228938053609035E-4</v>
      </c>
      <c r="BL354" s="124">
        <f>STDEV(BM345:BM347)/BM349</f>
        <v>2.27279982805981E-2</v>
      </c>
      <c r="BM354" s="124" t="s">
        <v>449</v>
      </c>
      <c r="BN354" s="123"/>
      <c r="BO354" s="123"/>
      <c r="BP354" s="123"/>
      <c r="BQ354" s="123"/>
      <c r="BR354" s="123"/>
      <c r="BS354" s="98"/>
    </row>
    <row r="355" spans="1:71">
      <c r="A355" s="130"/>
      <c r="D355" s="123" t="s">
        <v>444</v>
      </c>
      <c r="L355" s="98"/>
      <c r="BG355" s="130"/>
      <c r="BH355" s="123"/>
      <c r="BI355" s="123"/>
      <c r="BJ355" s="123"/>
      <c r="BK355" s="123"/>
      <c r="BL355" s="123"/>
      <c r="BM355" s="124" t="s">
        <v>438</v>
      </c>
      <c r="BN355" s="123"/>
      <c r="BO355" s="123"/>
      <c r="BP355" s="123"/>
      <c r="BQ355" s="123"/>
      <c r="BR355" s="123"/>
      <c r="BS355" s="98"/>
    </row>
    <row r="356" spans="1:71">
      <c r="A356" s="130"/>
      <c r="B356" s="123">
        <f>B349</f>
        <v>1.0348284858315786</v>
      </c>
      <c r="D356" s="123">
        <f>ABS(C344-B345)/C344</f>
        <v>8.0075229913453741E-2</v>
      </c>
      <c r="E356" s="123" t="s">
        <v>446</v>
      </c>
      <c r="L356" s="98"/>
      <c r="BG356" s="130"/>
      <c r="BH356" s="123"/>
      <c r="BI356" s="123"/>
      <c r="BJ356" s="123" t="s">
        <v>444</v>
      </c>
      <c r="BK356" s="123"/>
      <c r="BL356" s="123"/>
      <c r="BM356" s="123"/>
      <c r="BN356" s="123"/>
      <c r="BO356" s="123"/>
      <c r="BP356" s="123"/>
      <c r="BQ356" s="123"/>
      <c r="BR356" s="123"/>
      <c r="BS356" s="98"/>
    </row>
    <row r="357" spans="1:71">
      <c r="A357" s="130"/>
      <c r="B357" s="123">
        <f t="shared" ref="B357:B358" si="810">B350</f>
        <v>1.0350155790731301</v>
      </c>
      <c r="D357" s="123">
        <f>ABS((C336-B337)/C336)</f>
        <v>8.8025938967352876E-2</v>
      </c>
      <c r="E357" s="123" t="s">
        <v>445</v>
      </c>
      <c r="L357" s="98"/>
      <c r="BG357" s="130"/>
      <c r="BH357" s="123">
        <f>BH350</f>
        <v>0.99567999216365488</v>
      </c>
      <c r="BI357" s="123"/>
      <c r="BJ357" s="123">
        <f>ABS(BI345-BH346)/BI345</f>
        <v>1.1298886298886354E-2</v>
      </c>
      <c r="BK357" s="123" t="s">
        <v>446</v>
      </c>
      <c r="BL357" s="123"/>
      <c r="BM357" s="123"/>
      <c r="BN357" s="123"/>
      <c r="BO357" s="123"/>
      <c r="BP357" s="123"/>
      <c r="BQ357" s="123"/>
      <c r="BR357" s="123"/>
      <c r="BS357" s="98"/>
    </row>
    <row r="358" spans="1:71">
      <c r="A358" s="130"/>
      <c r="B358" s="123">
        <f t="shared" si="810"/>
        <v>1.0397894617300774</v>
      </c>
      <c r="L358" s="98"/>
      <c r="BG358" s="130"/>
      <c r="BH358" s="123">
        <f t="shared" ref="BH358:BH359" si="811">BH351</f>
        <v>0.99539606098385769</v>
      </c>
      <c r="BI358" s="123"/>
      <c r="BJ358" s="123">
        <f>ABS((BI337-BH338)/BI337)</f>
        <v>1.5105099389834188E-2</v>
      </c>
      <c r="BK358" s="123" t="s">
        <v>445</v>
      </c>
      <c r="BL358" s="123"/>
      <c r="BM358" s="123"/>
      <c r="BN358" s="123"/>
      <c r="BO358" s="123"/>
      <c r="BP358" s="123"/>
      <c r="BQ358" s="123"/>
      <c r="BR358" s="123"/>
      <c r="BS358" s="98"/>
    </row>
    <row r="359" spans="1:71">
      <c r="A359" s="130"/>
      <c r="B359" s="123">
        <f>D349</f>
        <v>1.0426345925525178</v>
      </c>
      <c r="L359" s="98"/>
      <c r="BG359" s="130"/>
      <c r="BH359" s="123">
        <f t="shared" si="811"/>
        <v>0.99620357919835412</v>
      </c>
      <c r="BI359" s="123"/>
      <c r="BJ359" s="123"/>
      <c r="BK359" s="123"/>
      <c r="BL359" s="123"/>
      <c r="BM359" s="123"/>
      <c r="BN359" s="123"/>
      <c r="BO359" s="123"/>
      <c r="BP359" s="123"/>
      <c r="BQ359" s="123"/>
      <c r="BR359" s="123"/>
      <c r="BS359" s="98"/>
    </row>
    <row r="360" spans="1:71">
      <c r="A360" s="130"/>
      <c r="B360" s="123">
        <f t="shared" ref="B360:B361" si="812">D350</f>
        <v>1.036719823331264</v>
      </c>
      <c r="L360" s="98"/>
      <c r="BG360" s="130"/>
      <c r="BH360" s="123">
        <f>BJ350</f>
        <v>0.99156407428384064</v>
      </c>
      <c r="BI360" s="123"/>
      <c r="BJ360" s="123"/>
      <c r="BK360" s="123"/>
      <c r="BL360" s="123"/>
      <c r="BM360" s="123"/>
      <c r="BN360" s="123"/>
      <c r="BO360" s="123"/>
      <c r="BP360" s="123"/>
      <c r="BQ360" s="123"/>
      <c r="BR360" s="123"/>
      <c r="BS360" s="98"/>
    </row>
    <row r="361" spans="1:71">
      <c r="A361" s="130"/>
      <c r="B361" s="123">
        <f t="shared" si="812"/>
        <v>1.0425558372201593</v>
      </c>
      <c r="L361" s="98"/>
      <c r="BG361" s="130"/>
      <c r="BH361" s="123">
        <f t="shared" ref="BH361:BH362" si="813">BJ351</f>
        <v>0.99154567864205978</v>
      </c>
      <c r="BI361" s="123"/>
      <c r="BJ361" s="123"/>
      <c r="BK361" s="123"/>
      <c r="BL361" s="123"/>
      <c r="BM361" s="123"/>
      <c r="BN361" s="123"/>
      <c r="BO361" s="123"/>
      <c r="BP361" s="123"/>
      <c r="BQ361" s="123"/>
      <c r="BR361" s="123"/>
      <c r="BS361" s="98"/>
    </row>
    <row r="362" spans="1:71" ht="15.75" thickBot="1">
      <c r="A362" s="131" t="s">
        <v>170</v>
      </c>
      <c r="B362" s="126">
        <f>VAR(B356:B361)</f>
        <v>1.2789666881499461E-5</v>
      </c>
      <c r="C362" s="126"/>
      <c r="D362" s="126"/>
      <c r="E362" s="126"/>
      <c r="F362" s="126"/>
      <c r="G362" s="126"/>
      <c r="H362" s="126"/>
      <c r="I362" s="126"/>
      <c r="J362" s="126"/>
      <c r="K362" s="126"/>
      <c r="L362" s="127"/>
      <c r="BG362" s="130"/>
      <c r="BH362" s="123">
        <f t="shared" si="813"/>
        <v>0.9919822800478364</v>
      </c>
      <c r="BI362" s="123"/>
      <c r="BJ362" s="123"/>
      <c r="BK362" s="123"/>
      <c r="BL362" s="123"/>
      <c r="BM362" s="123"/>
      <c r="BN362" s="123"/>
      <c r="BO362" s="123"/>
      <c r="BP362" s="123"/>
      <c r="BQ362" s="123"/>
      <c r="BR362" s="123"/>
      <c r="BS362" s="98"/>
    </row>
    <row r="363" spans="1:71" ht="16.5" thickTop="1" thickBot="1">
      <c r="A363" s="128"/>
      <c r="B363" s="121"/>
      <c r="C363" s="121"/>
      <c r="D363" s="121"/>
      <c r="E363" s="121"/>
      <c r="F363" s="133" t="s">
        <v>239</v>
      </c>
      <c r="G363" s="121"/>
      <c r="H363" s="121"/>
      <c r="I363" s="124" t="s">
        <v>238</v>
      </c>
      <c r="J363" s="121"/>
      <c r="K363" s="121"/>
      <c r="L363" s="122"/>
      <c r="BG363" s="131" t="s">
        <v>170</v>
      </c>
      <c r="BH363" s="126">
        <f>VAR(BH357:BH362)</f>
        <v>5.0427660293654572E-6</v>
      </c>
      <c r="BI363" s="126"/>
      <c r="BJ363" s="126"/>
      <c r="BK363" s="126"/>
      <c r="BL363" s="126"/>
      <c r="BM363" s="126"/>
      <c r="BN363" s="126"/>
      <c r="BO363" s="126"/>
      <c r="BP363" s="126"/>
      <c r="BQ363" s="126"/>
      <c r="BR363" s="126"/>
      <c r="BS363" s="127"/>
    </row>
    <row r="364" spans="1:71" ht="16.5" thickTop="1" thickBot="1">
      <c r="A364" s="130" t="s">
        <v>167</v>
      </c>
      <c r="H364" s="123" t="s">
        <v>168</v>
      </c>
      <c r="L364" s="98"/>
      <c r="BG364" s="128"/>
      <c r="BH364" s="121"/>
      <c r="BI364" s="121"/>
      <c r="BJ364" s="121"/>
      <c r="BK364" s="121"/>
      <c r="BL364" s="133" t="s">
        <v>239</v>
      </c>
      <c r="BM364" s="121"/>
      <c r="BN364" s="121"/>
      <c r="BO364" s="129" t="s">
        <v>276</v>
      </c>
      <c r="BP364" s="121"/>
      <c r="BQ364" s="121"/>
      <c r="BR364" s="122"/>
    </row>
    <row r="365" spans="1:71" ht="16.5" thickTop="1" thickBot="1">
      <c r="A365" s="1"/>
      <c r="B365" s="2" t="s">
        <v>0</v>
      </c>
      <c r="C365" s="2" t="s">
        <v>1</v>
      </c>
      <c r="D365" s="2" t="s">
        <v>2</v>
      </c>
      <c r="E365" s="3" t="s">
        <v>6</v>
      </c>
      <c r="F365" s="103" t="s">
        <v>70</v>
      </c>
      <c r="G365" s="103" t="s">
        <v>172</v>
      </c>
      <c r="H365" s="123" t="s">
        <v>3</v>
      </c>
      <c r="I365" s="123">
        <v>6</v>
      </c>
      <c r="K365" s="123" t="s">
        <v>19</v>
      </c>
      <c r="L365" s="98">
        <v>0.139101</v>
      </c>
      <c r="BG365" s="130" t="s">
        <v>167</v>
      </c>
      <c r="BH365" s="123"/>
      <c r="BI365" s="123"/>
      <c r="BJ365" s="123"/>
      <c r="BK365" s="123"/>
      <c r="BL365" s="123"/>
      <c r="BM365" s="123"/>
      <c r="BN365" s="123" t="s">
        <v>168</v>
      </c>
      <c r="BO365" s="123"/>
      <c r="BP365" s="123"/>
      <c r="BQ365" s="123"/>
      <c r="BR365" s="98"/>
    </row>
    <row r="366" spans="1:71" ht="15.75" thickTop="1">
      <c r="A366" s="4" t="s">
        <v>3</v>
      </c>
      <c r="B366" s="100">
        <v>1041.3</v>
      </c>
      <c r="C366" s="5">
        <v>870.37800000000004</v>
      </c>
      <c r="D366" s="5">
        <v>259.35000000000002</v>
      </c>
      <c r="E366" s="104">
        <f>SUM(B366:D366)</f>
        <v>2171.0279999999998</v>
      </c>
      <c r="F366" s="123">
        <f>D366/C366</f>
        <v>0.29797398371741934</v>
      </c>
      <c r="G366" s="123">
        <f>B366/C366</f>
        <v>1.1963767466549016</v>
      </c>
      <c r="H366" s="123" t="s">
        <v>4</v>
      </c>
      <c r="I366" s="123">
        <v>12</v>
      </c>
      <c r="L366" s="98"/>
      <c r="BG366" s="1"/>
      <c r="BH366" s="2" t="s">
        <v>0</v>
      </c>
      <c r="BI366" s="2" t="s">
        <v>1</v>
      </c>
      <c r="BJ366" s="2" t="s">
        <v>2</v>
      </c>
      <c r="BK366" s="3" t="s">
        <v>6</v>
      </c>
      <c r="BL366" s="103" t="s">
        <v>70</v>
      </c>
      <c r="BM366" s="103" t="s">
        <v>172</v>
      </c>
      <c r="BN366" s="123" t="s">
        <v>3</v>
      </c>
      <c r="BO366" s="123">
        <v>30</v>
      </c>
      <c r="BP366" s="123"/>
      <c r="BQ366" s="123" t="s">
        <v>19</v>
      </c>
      <c r="BR366" s="98">
        <v>0.215418</v>
      </c>
    </row>
    <row r="367" spans="1:71">
      <c r="A367" s="4" t="s">
        <v>4</v>
      </c>
      <c r="B367" s="5">
        <v>858.55</v>
      </c>
      <c r="C367" s="5">
        <v>805.41600000000005</v>
      </c>
      <c r="D367" s="5">
        <v>239.99299999999999</v>
      </c>
      <c r="E367" s="106">
        <f t="shared" ref="E367:E369" si="814">SUM(B367:D367)</f>
        <v>1903.9589999999998</v>
      </c>
      <c r="F367" s="123">
        <f t="shared" ref="F367:F369" si="815">D367/C367</f>
        <v>0.29797396624849765</v>
      </c>
      <c r="G367" s="123">
        <f t="shared" ref="G367:G369" si="816">B367/C367</f>
        <v>1.0659708771616156</v>
      </c>
      <c r="H367" s="123" t="s">
        <v>5</v>
      </c>
      <c r="I367" s="123">
        <v>4</v>
      </c>
      <c r="L367" s="98"/>
      <c r="BG367" s="4" t="s">
        <v>3</v>
      </c>
      <c r="BH367" s="100">
        <v>2890.27</v>
      </c>
      <c r="BI367" s="5">
        <v>2164.9899999999998</v>
      </c>
      <c r="BJ367" s="5">
        <v>1213.6199999999999</v>
      </c>
      <c r="BK367" s="104">
        <f>SUM(BH367:BJ367)</f>
        <v>6268.88</v>
      </c>
      <c r="BL367" s="123">
        <f>BJ367/BI367</f>
        <v>0.56056609961246939</v>
      </c>
      <c r="BM367" s="123">
        <f>BH367/BI367</f>
        <v>1.3350038568307476</v>
      </c>
      <c r="BN367" s="123" t="s">
        <v>4</v>
      </c>
      <c r="BO367" s="123">
        <v>60</v>
      </c>
      <c r="BP367" s="123"/>
      <c r="BQ367" s="123"/>
      <c r="BR367" s="98"/>
    </row>
    <row r="368" spans="1:71">
      <c r="A368" s="4" t="s">
        <v>5</v>
      </c>
      <c r="B368" s="5">
        <v>271.178</v>
      </c>
      <c r="C368" s="5">
        <v>228.16399999999999</v>
      </c>
      <c r="D368" s="5">
        <v>67.986800000000002</v>
      </c>
      <c r="E368" s="108">
        <f t="shared" si="814"/>
        <v>567.3288</v>
      </c>
      <c r="F368" s="123">
        <f t="shared" si="815"/>
        <v>0.29797338756333169</v>
      </c>
      <c r="G368" s="123">
        <f t="shared" si="816"/>
        <v>1.1885222909836786</v>
      </c>
      <c r="L368" s="98"/>
      <c r="BG368" s="4" t="s">
        <v>4</v>
      </c>
      <c r="BH368" s="5">
        <v>2412.2199999999998</v>
      </c>
      <c r="BI368" s="5">
        <v>1122.49</v>
      </c>
      <c r="BJ368" s="5">
        <v>629.23299999999995</v>
      </c>
      <c r="BK368" s="106">
        <f t="shared" ref="BK368:BK370" si="817">SUM(BH368:BJ368)</f>
        <v>4163.9430000000002</v>
      </c>
      <c r="BL368" s="123">
        <f t="shared" ref="BL368:BL370" si="818">BJ368/BI368</f>
        <v>0.56056891375424278</v>
      </c>
      <c r="BM368" s="123">
        <f t="shared" ref="BM368:BM370" si="819">BH368/BI368</f>
        <v>2.148990191449367</v>
      </c>
      <c r="BN368" s="123" t="s">
        <v>5</v>
      </c>
      <c r="BO368" s="123">
        <v>25</v>
      </c>
      <c r="BP368" s="123"/>
      <c r="BQ368" s="123"/>
      <c r="BR368" s="98"/>
    </row>
    <row r="369" spans="1:70" ht="15.75" thickBot="1">
      <c r="A369" s="7"/>
      <c r="B369" s="105">
        <f>SUM(B366:B368)</f>
        <v>2171.0279999999998</v>
      </c>
      <c r="C369" s="107">
        <f>SUM(C366:C368)</f>
        <v>1903.9580000000001</v>
      </c>
      <c r="D369" s="109">
        <f>SUM(D366:D368)</f>
        <v>567.32979999999998</v>
      </c>
      <c r="E369" s="101">
        <f t="shared" si="814"/>
        <v>4642.3158000000003</v>
      </c>
      <c r="F369" s="123">
        <f t="shared" si="815"/>
        <v>0.29797390488655734</v>
      </c>
      <c r="G369" s="123">
        <f t="shared" si="816"/>
        <v>1.1402709513550193</v>
      </c>
      <c r="L369" s="98"/>
      <c r="BG369" s="4" t="s">
        <v>5</v>
      </c>
      <c r="BH369" s="5">
        <v>966.39700000000005</v>
      </c>
      <c r="BI369" s="5">
        <v>876.45899999999995</v>
      </c>
      <c r="BJ369" s="5">
        <v>491.31400000000002</v>
      </c>
      <c r="BK369" s="108">
        <f t="shared" si="817"/>
        <v>2334.17</v>
      </c>
      <c r="BL369" s="123">
        <f t="shared" si="818"/>
        <v>0.56056700883897603</v>
      </c>
      <c r="BM369" s="123">
        <f t="shared" si="819"/>
        <v>1.1026151822275772</v>
      </c>
      <c r="BN369" s="123"/>
      <c r="BO369" s="123"/>
      <c r="BP369" s="123"/>
      <c r="BQ369" s="123"/>
      <c r="BR369" s="98"/>
    </row>
    <row r="370" spans="1:70" ht="16.5" thickTop="1" thickBot="1">
      <c r="A370" s="130"/>
      <c r="F370" s="124" t="s">
        <v>420</v>
      </c>
      <c r="G370" s="103">
        <f>AVERAGE(G366:G368)</f>
        <v>1.1502899716000652</v>
      </c>
      <c r="L370" s="98"/>
      <c r="BG370" s="7"/>
      <c r="BH370" s="105">
        <f>SUM(BH367:BH369)</f>
        <v>6268.8869999999997</v>
      </c>
      <c r="BI370" s="107">
        <f>SUM(BI367:BI369)</f>
        <v>4163.9389999999994</v>
      </c>
      <c r="BJ370" s="109">
        <f>SUM(BJ367:BJ369)</f>
        <v>2334.1669999999999</v>
      </c>
      <c r="BK370" s="101">
        <f t="shared" si="817"/>
        <v>12766.992999999999</v>
      </c>
      <c r="BL370" s="123">
        <f t="shared" si="818"/>
        <v>0.5605670496133589</v>
      </c>
      <c r="BM370" s="123">
        <f t="shared" si="819"/>
        <v>1.50551845259981</v>
      </c>
      <c r="BN370" s="123"/>
      <c r="BO370" s="123"/>
      <c r="BP370" s="123"/>
      <c r="BQ370" s="123"/>
      <c r="BR370" s="98"/>
    </row>
    <row r="371" spans="1:70" ht="15.75" thickTop="1">
      <c r="A371" s="130"/>
      <c r="L371" s="98"/>
      <c r="BG371" s="130"/>
      <c r="BH371" s="123"/>
      <c r="BI371" s="123"/>
      <c r="BJ371" s="123"/>
      <c r="BK371" s="123"/>
      <c r="BL371" s="124" t="s">
        <v>420</v>
      </c>
      <c r="BM371" s="103">
        <f>AVERAGE(BM367:BM369)</f>
        <v>1.528869743502564</v>
      </c>
      <c r="BN371" s="123"/>
      <c r="BO371" s="123"/>
      <c r="BP371" s="123"/>
      <c r="BQ371" s="123"/>
      <c r="BR371" s="98"/>
    </row>
    <row r="372" spans="1:70" ht="15.75" thickBot="1">
      <c r="A372" s="140" t="s">
        <v>254</v>
      </c>
      <c r="J372" s="124" t="s">
        <v>218</v>
      </c>
      <c r="L372" s="98"/>
      <c r="BG372" s="130"/>
      <c r="BH372" s="123"/>
      <c r="BI372" s="123"/>
      <c r="BJ372" s="123"/>
      <c r="BK372" s="123"/>
      <c r="BL372" s="123"/>
      <c r="BM372" s="123"/>
      <c r="BN372" s="123"/>
      <c r="BO372" s="123"/>
      <c r="BP372" s="123"/>
      <c r="BQ372" s="123"/>
      <c r="BR372" s="98"/>
    </row>
    <row r="373" spans="1:70" ht="16.5" thickTop="1" thickBot="1">
      <c r="A373" s="1"/>
      <c r="B373" s="2" t="s">
        <v>8</v>
      </c>
      <c r="C373" s="2" t="s">
        <v>9</v>
      </c>
      <c r="D373" s="2" t="s">
        <v>10</v>
      </c>
      <c r="E373" s="3" t="s">
        <v>11</v>
      </c>
      <c r="F373" s="103" t="s">
        <v>16</v>
      </c>
      <c r="G373" s="103" t="s">
        <v>172</v>
      </c>
      <c r="H373" s="124" t="s">
        <v>171</v>
      </c>
      <c r="J373" s="123">
        <v>0.14000000000000001</v>
      </c>
      <c r="K373" s="103" t="s">
        <v>212</v>
      </c>
      <c r="L373" s="98"/>
      <c r="BG373" s="140" t="s">
        <v>254</v>
      </c>
      <c r="BH373" s="123"/>
      <c r="BI373" s="123"/>
      <c r="BJ373" s="123"/>
      <c r="BK373" s="123"/>
      <c r="BL373" s="123"/>
      <c r="BM373" s="123"/>
      <c r="BN373" s="123"/>
      <c r="BO373" s="123"/>
      <c r="BP373" s="124" t="s">
        <v>218</v>
      </c>
      <c r="BQ373" s="123"/>
      <c r="BR373" s="98"/>
    </row>
    <row r="374" spans="1:70" ht="15.75" thickTop="1">
      <c r="A374" s="4" t="s">
        <v>3</v>
      </c>
      <c r="B374" s="100">
        <v>1045.46</v>
      </c>
      <c r="C374" s="5">
        <v>868.50699999999995</v>
      </c>
      <c r="D374" s="5">
        <v>266.23500000000001</v>
      </c>
      <c r="E374" s="110">
        <f>SUM(B374:D374)</f>
        <v>2180.2020000000002</v>
      </c>
      <c r="F374" s="123">
        <f>D374/(B374+C374)</f>
        <v>0.13910114437709742</v>
      </c>
      <c r="G374" s="123">
        <f>B374/C374</f>
        <v>1.2037438961344009</v>
      </c>
      <c r="H374" s="125">
        <f>ABS((E377-E369)/E369)</f>
        <v>7.6332592453102165E-4</v>
      </c>
      <c r="J374" s="123">
        <v>0.14000000000000001</v>
      </c>
      <c r="K374" s="123" t="s">
        <v>213</v>
      </c>
      <c r="L374" s="98"/>
      <c r="BG374" s="1"/>
      <c r="BH374" s="2" t="s">
        <v>8</v>
      </c>
      <c r="BI374" s="2" t="s">
        <v>9</v>
      </c>
      <c r="BJ374" s="2" t="s">
        <v>10</v>
      </c>
      <c r="BK374" s="3" t="s">
        <v>11</v>
      </c>
      <c r="BL374" s="103" t="s">
        <v>16</v>
      </c>
      <c r="BM374" s="103" t="s">
        <v>172</v>
      </c>
      <c r="BN374" s="124" t="s">
        <v>171</v>
      </c>
      <c r="BO374" s="123"/>
      <c r="BP374" s="123">
        <v>0.03</v>
      </c>
      <c r="BQ374" s="103" t="s">
        <v>212</v>
      </c>
      <c r="BR374" s="98"/>
    </row>
    <row r="375" spans="1:70">
      <c r="A375" s="4" t="s">
        <v>4</v>
      </c>
      <c r="B375" s="5">
        <v>863.76599999999996</v>
      </c>
      <c r="C375" s="5">
        <v>802.74800000000005</v>
      </c>
      <c r="D375" s="5">
        <v>231.81399999999999</v>
      </c>
      <c r="E375" s="112">
        <f t="shared" ref="E375:E376" si="820">SUM(B375:D375)</f>
        <v>1898.3280000000002</v>
      </c>
      <c r="F375" s="123">
        <f t="shared" ref="F375:F377" si="821">D375/(B375+C375)</f>
        <v>0.13910114166457646</v>
      </c>
      <c r="G375" s="123">
        <f t="shared" ref="G375:G377" si="822">B375/C375</f>
        <v>1.076011400838121</v>
      </c>
      <c r="J375" s="123">
        <v>0.14000000000000001</v>
      </c>
      <c r="K375" s="123" t="s">
        <v>214</v>
      </c>
      <c r="L375" s="98"/>
      <c r="BG375" s="4" t="s">
        <v>3</v>
      </c>
      <c r="BH375" s="100">
        <v>2946.9</v>
      </c>
      <c r="BI375" s="5">
        <v>2311.33</v>
      </c>
      <c r="BJ375" s="5">
        <v>1132.72</v>
      </c>
      <c r="BK375" s="110">
        <f>SUM(BH375:BJ375)</f>
        <v>6390.95</v>
      </c>
      <c r="BL375" s="123">
        <f>BJ375/(BH375+BI375)</f>
        <v>0.21541849633812141</v>
      </c>
      <c r="BM375" s="123">
        <f>BH375/BI375</f>
        <v>1.2749802062016242</v>
      </c>
      <c r="BN375" s="125">
        <f>ABS((BK378-BK370)/BK370)</f>
        <v>3.1541804714704656E-2</v>
      </c>
      <c r="BO375" s="123"/>
      <c r="BP375" s="123">
        <f>BP374</f>
        <v>0.03</v>
      </c>
      <c r="BQ375" s="123" t="s">
        <v>213</v>
      </c>
      <c r="BR375" s="98"/>
    </row>
    <row r="376" spans="1:70">
      <c r="A376" s="4" t="s">
        <v>5</v>
      </c>
      <c r="B376" s="5">
        <v>270.976</v>
      </c>
      <c r="C376" s="5">
        <v>227.07400000000001</v>
      </c>
      <c r="D376" s="5">
        <v>69.279399999999995</v>
      </c>
      <c r="E376" s="108">
        <f t="shared" si="820"/>
        <v>567.32939999999996</v>
      </c>
      <c r="F376" s="123">
        <f t="shared" si="821"/>
        <v>0.13910129505069771</v>
      </c>
      <c r="G376" s="123">
        <f t="shared" si="822"/>
        <v>1.1933378546200797</v>
      </c>
      <c r="J376" s="103">
        <v>7.0000000000000007E-2</v>
      </c>
      <c r="K376" s="103" t="s">
        <v>215</v>
      </c>
      <c r="L376" s="98"/>
      <c r="BG376" s="4" t="s">
        <v>4</v>
      </c>
      <c r="BH376" s="5">
        <v>2458.92</v>
      </c>
      <c r="BI376" s="5">
        <v>1197.9000000000001</v>
      </c>
      <c r="BJ376" s="5">
        <v>787.74699999999996</v>
      </c>
      <c r="BK376" s="112">
        <f t="shared" ref="BK376:BK377" si="823">SUM(BH376:BJ376)</f>
        <v>4444.567</v>
      </c>
      <c r="BL376" s="123">
        <f t="shared" ref="BL376:BL378" si="824">BJ376/(BH376+BI376)</f>
        <v>0.21541858773469844</v>
      </c>
      <c r="BM376" s="123">
        <f t="shared" ref="BM376:BM378" si="825">BH376/BI376</f>
        <v>2.0526922113698971</v>
      </c>
      <c r="BN376" s="123"/>
      <c r="BO376" s="123"/>
      <c r="BP376" s="123">
        <f>BP374*0.5</f>
        <v>1.4999999999999999E-2</v>
      </c>
      <c r="BQ376" s="123" t="s">
        <v>214</v>
      </c>
      <c r="BR376" s="98"/>
    </row>
    <row r="377" spans="1:70" ht="15.75" thickBot="1">
      <c r="A377" s="7"/>
      <c r="B377" s="111">
        <f>SUM(B374:B376)</f>
        <v>2180.2020000000002</v>
      </c>
      <c r="C377" s="113">
        <f t="shared" ref="C377:D377" si="826">SUM(C374:C376)</f>
        <v>1898.3290000000002</v>
      </c>
      <c r="D377" s="109">
        <f t="shared" si="826"/>
        <v>567.32839999999999</v>
      </c>
      <c r="E377" s="102">
        <f>SUM(E374:E376)</f>
        <v>4645.8594000000003</v>
      </c>
      <c r="F377" s="123">
        <f t="shared" si="821"/>
        <v>0.13910116166825751</v>
      </c>
      <c r="G377" s="123">
        <f t="shared" si="822"/>
        <v>1.1484847989995413</v>
      </c>
      <c r="J377" s="103">
        <v>7.0000000000000007E-2</v>
      </c>
      <c r="K377" s="103" t="s">
        <v>216</v>
      </c>
      <c r="L377" s="98"/>
      <c r="BG377" s="4" t="s">
        <v>5</v>
      </c>
      <c r="BH377" s="5">
        <v>985.13199999999995</v>
      </c>
      <c r="BI377" s="5">
        <v>935.33399999999995</v>
      </c>
      <c r="BJ377" s="5">
        <v>413.70400000000001</v>
      </c>
      <c r="BK377" s="108">
        <f t="shared" si="823"/>
        <v>2334.17</v>
      </c>
      <c r="BL377" s="123">
        <f t="shared" si="824"/>
        <v>0.21541854945622574</v>
      </c>
      <c r="BM377" s="123">
        <f t="shared" si="825"/>
        <v>1.0532408743828408</v>
      </c>
      <c r="BN377" s="123"/>
      <c r="BO377" s="123"/>
      <c r="BP377" s="103">
        <f>BP376</f>
        <v>1.4999999999999999E-2</v>
      </c>
      <c r="BQ377" s="103" t="s">
        <v>215</v>
      </c>
      <c r="BR377" s="98"/>
    </row>
    <row r="378" spans="1:70" ht="16.5" thickTop="1" thickBot="1">
      <c r="A378" s="130"/>
      <c r="F378" s="124" t="s">
        <v>420</v>
      </c>
      <c r="G378" s="103">
        <f>AVERAGE(G374:G376)</f>
        <v>1.1576977171975338</v>
      </c>
      <c r="J378" s="103">
        <v>7.0000000000000007E-2</v>
      </c>
      <c r="K378" s="103" t="s">
        <v>217</v>
      </c>
      <c r="L378" s="98"/>
      <c r="BG378" s="7"/>
      <c r="BH378" s="111">
        <f>SUM(BH375:BH377)</f>
        <v>6390.9519999999993</v>
      </c>
      <c r="BI378" s="113">
        <f t="shared" ref="BI378:BJ378" si="827">SUM(BI375:BI377)</f>
        <v>4444.5640000000003</v>
      </c>
      <c r="BJ378" s="109">
        <f t="shared" si="827"/>
        <v>2334.1710000000003</v>
      </c>
      <c r="BK378" s="102">
        <f>SUM(BK375:BK377)</f>
        <v>13169.687</v>
      </c>
      <c r="BL378" s="123">
        <f t="shared" si="824"/>
        <v>0.21541853659761107</v>
      </c>
      <c r="BM378" s="123">
        <f t="shared" si="825"/>
        <v>1.437925519803517</v>
      </c>
      <c r="BN378" s="123"/>
      <c r="BO378" s="123"/>
      <c r="BP378" s="103">
        <f>BP374*0.3</f>
        <v>8.9999999999999993E-3</v>
      </c>
      <c r="BQ378" s="103" t="s">
        <v>216</v>
      </c>
      <c r="BR378" s="98"/>
    </row>
    <row r="379" spans="1:70" ht="15.75" thickTop="1">
      <c r="A379" s="130" t="s">
        <v>12</v>
      </c>
      <c r="B379" s="123">
        <f>B374/B366</f>
        <v>1.0039950062421974</v>
      </c>
      <c r="C379" s="123" t="s">
        <v>163</v>
      </c>
      <c r="D379" s="123">
        <f>C374/C366</f>
        <v>0.99785035926919097</v>
      </c>
      <c r="E379" s="124" t="s">
        <v>255</v>
      </c>
      <c r="J379" s="137" t="s">
        <v>247</v>
      </c>
      <c r="L379" s="98"/>
      <c r="BG379" s="130"/>
      <c r="BH379" s="123"/>
      <c r="BI379" s="123"/>
      <c r="BJ379" s="123"/>
      <c r="BK379" s="123"/>
      <c r="BL379" s="124" t="s">
        <v>420</v>
      </c>
      <c r="BM379" s="103">
        <f>AVERAGE(BM375:BM377)</f>
        <v>1.4603044306514539</v>
      </c>
      <c r="BN379" s="123"/>
      <c r="BO379" s="123"/>
      <c r="BP379" s="103">
        <f>BP378</f>
        <v>8.9999999999999993E-3</v>
      </c>
      <c r="BQ379" s="103" t="s">
        <v>217</v>
      </c>
      <c r="BR379" s="98"/>
    </row>
    <row r="380" spans="1:70">
      <c r="A380" s="130" t="s">
        <v>13</v>
      </c>
      <c r="B380" s="123">
        <f t="shared" ref="B380:B381" si="828">B375/B367</f>
        <v>1.0060753596179606</v>
      </c>
      <c r="C380" s="123" t="s">
        <v>164</v>
      </c>
      <c r="D380" s="123">
        <f t="shared" ref="D380:D381" si="829">C375/C367</f>
        <v>0.99668742612513284</v>
      </c>
      <c r="E380" s="123">
        <f>VAR(G366:G368)</f>
        <v>5.3477053836632482E-3</v>
      </c>
      <c r="F380" s="124">
        <f>STDEV(G366:G368)/G370</f>
        <v>6.3573541142240619E-2</v>
      </c>
      <c r="G380" s="124" t="s">
        <v>449</v>
      </c>
      <c r="L380" s="98"/>
      <c r="BG380" s="130" t="s">
        <v>12</v>
      </c>
      <c r="BH380" s="123">
        <f>BH375/BH367</f>
        <v>1.019593325191072</v>
      </c>
      <c r="BI380" s="123" t="s">
        <v>163</v>
      </c>
      <c r="BJ380" s="123">
        <f>BI375/BI367</f>
        <v>1.0675938456990564</v>
      </c>
      <c r="BK380" s="124" t="s">
        <v>255</v>
      </c>
      <c r="BL380" s="123"/>
      <c r="BM380" s="123"/>
      <c r="BN380" s="123"/>
      <c r="BO380" s="123"/>
      <c r="BP380" s="139" t="s">
        <v>248</v>
      </c>
      <c r="BQ380" s="123"/>
      <c r="BR380" s="98"/>
    </row>
    <row r="381" spans="1:70">
      <c r="A381" s="130" t="s">
        <v>14</v>
      </c>
      <c r="B381" s="123">
        <f t="shared" si="828"/>
        <v>0.99925510181504396</v>
      </c>
      <c r="C381" s="123" t="s">
        <v>165</v>
      </c>
      <c r="D381" s="123">
        <f t="shared" si="829"/>
        <v>0.99522273452428967</v>
      </c>
      <c r="G381" s="124" t="s">
        <v>438</v>
      </c>
      <c r="L381" s="98"/>
      <c r="BG381" s="130" t="s">
        <v>13</v>
      </c>
      <c r="BH381" s="123">
        <f t="shared" ref="BH381:BH382" si="830">BH376/BH368</f>
        <v>1.0193597598892308</v>
      </c>
      <c r="BI381" s="123" t="s">
        <v>164</v>
      </c>
      <c r="BJ381" s="123">
        <f t="shared" ref="BJ381:BJ382" si="831">BI376/BI368</f>
        <v>1.0671809993852952</v>
      </c>
      <c r="BK381" s="123">
        <f>VAR(BM367:BM369)</f>
        <v>0.30191315149226172</v>
      </c>
      <c r="BL381" s="124">
        <f>STDEV(BM367:BM369)/BM371</f>
        <v>0.35939375783598798</v>
      </c>
      <c r="BM381" s="124" t="s">
        <v>449</v>
      </c>
      <c r="BN381" s="123"/>
      <c r="BO381" s="123"/>
      <c r="BP381" s="123"/>
      <c r="BQ381" s="123"/>
      <c r="BR381" s="98"/>
    </row>
    <row r="382" spans="1:70">
      <c r="A382" s="130" t="s">
        <v>15</v>
      </c>
      <c r="B382" s="123">
        <f>E374/E366</f>
        <v>1.0042256479418969</v>
      </c>
      <c r="C382" s="123" t="s">
        <v>67</v>
      </c>
      <c r="D382" s="123">
        <f>E375/E367</f>
        <v>0.99704247833067849</v>
      </c>
      <c r="E382" s="124" t="s">
        <v>256</v>
      </c>
      <c r="L382" s="98"/>
      <c r="BG382" s="130" t="s">
        <v>14</v>
      </c>
      <c r="BH382" s="123">
        <f t="shared" si="830"/>
        <v>1.0193864426317547</v>
      </c>
      <c r="BI382" s="123" t="s">
        <v>165</v>
      </c>
      <c r="BJ382" s="123">
        <f t="shared" si="831"/>
        <v>1.0671737069275347</v>
      </c>
      <c r="BK382" s="123"/>
      <c r="BL382" s="123"/>
      <c r="BM382" s="124" t="s">
        <v>438</v>
      </c>
      <c r="BN382" s="123"/>
      <c r="BO382" s="123"/>
      <c r="BP382" s="123"/>
      <c r="BQ382" s="123"/>
      <c r="BR382" s="98"/>
    </row>
    <row r="383" spans="1:70">
      <c r="A383" s="130" t="s">
        <v>170</v>
      </c>
      <c r="B383" s="123">
        <f>VAR(B379:B381)</f>
        <v>1.2218413440807176E-5</v>
      </c>
      <c r="C383" s="123" t="s">
        <v>170</v>
      </c>
      <c r="D383" s="123">
        <f>VAR(D379:D381)</f>
        <v>1.7336911305245161E-6</v>
      </c>
      <c r="E383" s="123">
        <f>VAR(G374:G376)</f>
        <v>5.0315621352767792E-3</v>
      </c>
      <c r="F383" s="124">
        <f>STDEV(G374:G376)/G378</f>
        <v>6.127117983590142E-2</v>
      </c>
      <c r="G383" s="124" t="s">
        <v>449</v>
      </c>
      <c r="L383" s="98"/>
      <c r="BG383" s="130" t="s">
        <v>15</v>
      </c>
      <c r="BH383" s="123">
        <f>BK375/BK367</f>
        <v>1.0194723778410177</v>
      </c>
      <c r="BI383" s="123" t="s">
        <v>67</v>
      </c>
      <c r="BJ383" s="123">
        <f>BK376/BK368</f>
        <v>1.0673938139883279</v>
      </c>
      <c r="BK383" s="124" t="s">
        <v>256</v>
      </c>
      <c r="BL383" s="123"/>
      <c r="BM383" s="123"/>
      <c r="BN383" s="123"/>
      <c r="BO383" s="123"/>
      <c r="BP383" s="123"/>
      <c r="BQ383" s="123"/>
      <c r="BR383" s="98"/>
    </row>
    <row r="384" spans="1:70">
      <c r="A384" s="130"/>
      <c r="G384" s="124" t="s">
        <v>438</v>
      </c>
      <c r="L384" s="98"/>
      <c r="BG384" s="130" t="s">
        <v>170</v>
      </c>
      <c r="BH384" s="123">
        <f>VAR(BH380:BH382)</f>
        <v>1.6344185387081669E-8</v>
      </c>
      <c r="BI384" s="123" t="s">
        <v>170</v>
      </c>
      <c r="BJ384" s="123">
        <f>VAR(BJ380:BJ382)</f>
        <v>5.7835307677019661E-8</v>
      </c>
      <c r="BK384" s="123">
        <f>VAR(BM375:BM377)</f>
        <v>0.27548454487725227</v>
      </c>
      <c r="BL384" s="124">
        <f>STDEV(BM375:BM377)/BM379</f>
        <v>0.35942246366838843</v>
      </c>
      <c r="BM384" s="124" t="s">
        <v>449</v>
      </c>
      <c r="BN384" s="123"/>
      <c r="BO384" s="123"/>
      <c r="BP384" s="123"/>
      <c r="BQ384" s="123"/>
      <c r="BR384" s="98"/>
    </row>
    <row r="385" spans="1:70">
      <c r="A385" s="130"/>
      <c r="D385" s="123" t="s">
        <v>444</v>
      </c>
      <c r="L385" s="98"/>
      <c r="BG385" s="130"/>
      <c r="BH385" s="123"/>
      <c r="BI385" s="123"/>
      <c r="BJ385" s="123"/>
      <c r="BK385" s="123"/>
      <c r="BL385" s="123"/>
      <c r="BM385" s="124" t="s">
        <v>438</v>
      </c>
      <c r="BN385" s="123"/>
      <c r="BO385" s="123"/>
      <c r="BP385" s="123"/>
      <c r="BQ385" s="123"/>
      <c r="BR385" s="98"/>
    </row>
    <row r="386" spans="1:70">
      <c r="A386" s="130"/>
      <c r="B386" s="123">
        <f>B379</f>
        <v>1.0039950062421974</v>
      </c>
      <c r="D386" s="123">
        <f>ABS(C374-B375)/C374</f>
        <v>5.458793078236544E-3</v>
      </c>
      <c r="E386" s="123" t="s">
        <v>446</v>
      </c>
      <c r="L386" s="98"/>
      <c r="BG386" s="130"/>
      <c r="BH386" s="123"/>
      <c r="BI386" s="123"/>
      <c r="BJ386" s="123" t="s">
        <v>444</v>
      </c>
      <c r="BK386" s="123"/>
      <c r="BL386" s="123"/>
      <c r="BM386" s="123"/>
      <c r="BN386" s="123"/>
      <c r="BO386" s="123"/>
      <c r="BP386" s="123"/>
      <c r="BQ386" s="123"/>
      <c r="BR386" s="98"/>
    </row>
    <row r="387" spans="1:70">
      <c r="A387" s="130"/>
      <c r="B387" s="123">
        <f t="shared" ref="B387:B388" si="832">B380</f>
        <v>1.0060753596179606</v>
      </c>
      <c r="D387" s="123">
        <f>ABS((C366-B367)/C366)</f>
        <v>1.3589497896316414E-2</v>
      </c>
      <c r="E387" s="123" t="s">
        <v>445</v>
      </c>
      <c r="L387" s="98"/>
      <c r="BG387" s="130"/>
      <c r="BH387" s="123">
        <f>BH380</f>
        <v>1.019593325191072</v>
      </c>
      <c r="BI387" s="123"/>
      <c r="BJ387" s="123">
        <f>ABS(BI375-BH376)/BI375</f>
        <v>6.3855009886082975E-2</v>
      </c>
      <c r="BK387" s="123" t="s">
        <v>446</v>
      </c>
      <c r="BL387" s="123"/>
      <c r="BM387" s="123"/>
      <c r="BN387" s="123"/>
      <c r="BO387" s="123"/>
      <c r="BP387" s="123"/>
      <c r="BQ387" s="123"/>
      <c r="BR387" s="98"/>
    </row>
    <row r="388" spans="1:70">
      <c r="A388" s="130"/>
      <c r="B388" s="123">
        <f t="shared" si="832"/>
        <v>0.99925510181504396</v>
      </c>
      <c r="L388" s="98"/>
      <c r="BG388" s="130"/>
      <c r="BH388" s="123">
        <f t="shared" ref="BH388:BH389" si="833">BH381</f>
        <v>1.0193597598892308</v>
      </c>
      <c r="BI388" s="123"/>
      <c r="BJ388" s="123">
        <f>ABS((BI367-BH368)/BI367)</f>
        <v>0.1141945228384427</v>
      </c>
      <c r="BK388" s="123" t="s">
        <v>445</v>
      </c>
      <c r="BL388" s="123"/>
      <c r="BM388" s="123"/>
      <c r="BN388" s="123"/>
      <c r="BO388" s="123"/>
      <c r="BP388" s="123"/>
      <c r="BQ388" s="123"/>
      <c r="BR388" s="98"/>
    </row>
    <row r="389" spans="1:70">
      <c r="A389" s="130"/>
      <c r="B389" s="123">
        <f>D379</f>
        <v>0.99785035926919097</v>
      </c>
      <c r="L389" s="98"/>
      <c r="BG389" s="130"/>
      <c r="BH389" s="123">
        <f t="shared" si="833"/>
        <v>1.0193864426317547</v>
      </c>
      <c r="BI389" s="123"/>
      <c r="BJ389" s="123"/>
      <c r="BK389" s="123"/>
      <c r="BL389" s="123"/>
      <c r="BM389" s="123"/>
      <c r="BN389" s="123"/>
      <c r="BO389" s="123"/>
      <c r="BP389" s="123"/>
      <c r="BQ389" s="123"/>
      <c r="BR389" s="98"/>
    </row>
    <row r="390" spans="1:70">
      <c r="A390" s="130"/>
      <c r="B390" s="123">
        <f t="shared" ref="B390:B391" si="834">D380</f>
        <v>0.99668742612513284</v>
      </c>
      <c r="L390" s="98"/>
      <c r="BG390" s="130"/>
      <c r="BH390" s="123">
        <f>BJ380</f>
        <v>1.0675938456990564</v>
      </c>
      <c r="BI390" s="123"/>
      <c r="BJ390" s="123"/>
      <c r="BK390" s="123"/>
      <c r="BL390" s="123"/>
      <c r="BM390" s="123"/>
      <c r="BN390" s="123"/>
      <c r="BO390" s="123"/>
      <c r="BP390" s="123"/>
      <c r="BQ390" s="123"/>
      <c r="BR390" s="98"/>
    </row>
    <row r="391" spans="1:70">
      <c r="A391" s="130"/>
      <c r="B391" s="123">
        <f t="shared" si="834"/>
        <v>0.99522273452428967</v>
      </c>
      <c r="L391" s="98"/>
      <c r="BG391" s="130"/>
      <c r="BH391" s="123">
        <f t="shared" ref="BH391:BH392" si="835">BJ381</f>
        <v>1.0671809993852952</v>
      </c>
      <c r="BI391" s="123"/>
      <c r="BJ391" s="123"/>
      <c r="BK391" s="123"/>
      <c r="BL391" s="123"/>
      <c r="BM391" s="123"/>
      <c r="BN391" s="123"/>
      <c r="BO391" s="123"/>
      <c r="BP391" s="123"/>
      <c r="BQ391" s="123"/>
      <c r="BR391" s="98"/>
    </row>
    <row r="392" spans="1:70" ht="15.75" thickBot="1">
      <c r="A392" s="131" t="s">
        <v>170</v>
      </c>
      <c r="B392" s="126">
        <f>VAR(B386:B391)</f>
        <v>1.8340414519133869E-5</v>
      </c>
      <c r="C392" s="126"/>
      <c r="D392" s="126"/>
      <c r="E392" s="126"/>
      <c r="F392" s="126"/>
      <c r="G392" s="126"/>
      <c r="H392" s="126"/>
      <c r="I392" s="126"/>
      <c r="J392" s="126"/>
      <c r="K392" s="126"/>
      <c r="L392" s="127"/>
      <c r="BG392" s="130"/>
      <c r="BH392" s="123">
        <f t="shared" si="835"/>
        <v>1.0671737069275347</v>
      </c>
      <c r="BI392" s="123"/>
      <c r="BJ392" s="123"/>
      <c r="BK392" s="123"/>
      <c r="BL392" s="123"/>
      <c r="BM392" s="123"/>
      <c r="BN392" s="123"/>
      <c r="BO392" s="123"/>
      <c r="BP392" s="123"/>
      <c r="BQ392" s="123"/>
      <c r="BR392" s="98"/>
    </row>
    <row r="393" spans="1:70" ht="16.5" thickTop="1" thickBot="1">
      <c r="A393" s="128"/>
      <c r="B393" s="121"/>
      <c r="C393" s="121"/>
      <c r="D393" s="121"/>
      <c r="E393" s="121"/>
      <c r="F393" s="133" t="s">
        <v>239</v>
      </c>
      <c r="G393" s="121"/>
      <c r="H393" s="121"/>
      <c r="I393" s="129" t="s">
        <v>211</v>
      </c>
      <c r="J393" s="121"/>
      <c r="K393" s="121"/>
      <c r="L393" s="122"/>
      <c r="BG393" s="131" t="s">
        <v>170</v>
      </c>
      <c r="BH393" s="126">
        <f>VAR(BH387:BH392)</f>
        <v>6.8748140047551851E-4</v>
      </c>
      <c r="BI393" s="126"/>
      <c r="BJ393" s="126"/>
      <c r="BK393" s="126"/>
      <c r="BL393" s="126"/>
      <c r="BM393" s="126"/>
      <c r="BN393" s="126"/>
      <c r="BO393" s="126"/>
      <c r="BP393" s="126"/>
      <c r="BQ393" s="126"/>
      <c r="BR393" s="127"/>
    </row>
    <row r="394" spans="1:70" ht="16.5" thickTop="1" thickBot="1">
      <c r="A394" s="130" t="s">
        <v>167</v>
      </c>
      <c r="H394" s="123" t="s">
        <v>168</v>
      </c>
      <c r="L394" s="98"/>
      <c r="BG394" s="128"/>
      <c r="BH394" s="121"/>
      <c r="BI394" s="121"/>
      <c r="BJ394" s="121"/>
      <c r="BK394" s="121"/>
      <c r="BL394" s="133" t="s">
        <v>239</v>
      </c>
      <c r="BM394" s="121"/>
      <c r="BN394" s="121"/>
      <c r="BO394" s="129" t="s">
        <v>277</v>
      </c>
      <c r="BP394" s="121"/>
      <c r="BQ394" s="121"/>
      <c r="BR394" s="122"/>
    </row>
    <row r="395" spans="1:70" ht="16.5" thickTop="1" thickBot="1">
      <c r="A395" s="1"/>
      <c r="B395" s="2" t="s">
        <v>0</v>
      </c>
      <c r="C395" s="2" t="s">
        <v>1</v>
      </c>
      <c r="D395" s="2" t="s">
        <v>2</v>
      </c>
      <c r="E395" s="3" t="s">
        <v>6</v>
      </c>
      <c r="F395" s="103" t="s">
        <v>70</v>
      </c>
      <c r="G395" s="103" t="s">
        <v>172</v>
      </c>
      <c r="H395" s="123" t="s">
        <v>3</v>
      </c>
      <c r="I395" s="123">
        <v>6</v>
      </c>
      <c r="K395" s="123" t="s">
        <v>19</v>
      </c>
      <c r="L395" s="98">
        <v>0.47388799999999998</v>
      </c>
      <c r="BG395" s="130" t="s">
        <v>167</v>
      </c>
      <c r="BH395" s="123"/>
      <c r="BI395" s="123"/>
      <c r="BJ395" s="123"/>
      <c r="BK395" s="123"/>
      <c r="BL395" s="123"/>
      <c r="BM395" s="123"/>
      <c r="BN395" s="123" t="s">
        <v>168</v>
      </c>
      <c r="BO395" s="123"/>
      <c r="BP395" s="123"/>
      <c r="BQ395" s="123"/>
      <c r="BR395" s="98"/>
    </row>
    <row r="396" spans="1:70" ht="15.75" thickTop="1">
      <c r="A396" s="4" t="s">
        <v>3</v>
      </c>
      <c r="B396" s="100">
        <v>204.91</v>
      </c>
      <c r="C396" s="5">
        <v>283.45</v>
      </c>
      <c r="D396" s="5">
        <v>220.696</v>
      </c>
      <c r="E396" s="104">
        <f>SUM(B396:D396)</f>
        <v>709.05600000000004</v>
      </c>
      <c r="F396" s="123">
        <f>D396/C396</f>
        <v>0.77860645616510848</v>
      </c>
      <c r="G396" s="123">
        <f>B396/C396</f>
        <v>0.72291409419650732</v>
      </c>
      <c r="H396" s="123" t="s">
        <v>4</v>
      </c>
      <c r="I396" s="123">
        <v>12</v>
      </c>
      <c r="L396" s="98"/>
      <c r="BG396" s="1"/>
      <c r="BH396" s="2" t="s">
        <v>0</v>
      </c>
      <c r="BI396" s="2" t="s">
        <v>1</v>
      </c>
      <c r="BJ396" s="2" t="s">
        <v>2</v>
      </c>
      <c r="BK396" s="3" t="s">
        <v>6</v>
      </c>
      <c r="BL396" s="103" t="s">
        <v>70</v>
      </c>
      <c r="BM396" s="103" t="s">
        <v>172</v>
      </c>
      <c r="BN396" s="123" t="s">
        <v>3</v>
      </c>
      <c r="BO396" s="123">
        <v>30</v>
      </c>
      <c r="BP396" s="123"/>
      <c r="BQ396" s="123" t="s">
        <v>19</v>
      </c>
      <c r="BR396" s="98">
        <v>0.266762</v>
      </c>
    </row>
    <row r="397" spans="1:70">
      <c r="A397" s="4" t="s">
        <v>4</v>
      </c>
      <c r="B397" s="5">
        <v>187.12299999999999</v>
      </c>
      <c r="C397" s="5">
        <v>314.33600000000001</v>
      </c>
      <c r="D397" s="5">
        <v>244.744</v>
      </c>
      <c r="E397" s="106">
        <f t="shared" ref="E397:E399" si="836">SUM(B397:D397)</f>
        <v>746.20299999999997</v>
      </c>
      <c r="F397" s="123">
        <f t="shared" ref="F397:F399" si="837">D397/C397</f>
        <v>0.77860633207777663</v>
      </c>
      <c r="G397" s="123">
        <f t="shared" ref="G397:G399" si="838">B397/C397</f>
        <v>0.59529611625776235</v>
      </c>
      <c r="H397" s="123" t="s">
        <v>5</v>
      </c>
      <c r="I397" s="123">
        <v>4</v>
      </c>
      <c r="L397" s="98"/>
      <c r="BG397" s="4" t="s">
        <v>3</v>
      </c>
      <c r="BH397" s="100">
        <v>2287.58</v>
      </c>
      <c r="BI397" s="5">
        <v>1722.87</v>
      </c>
      <c r="BJ397" s="5">
        <v>1192.31</v>
      </c>
      <c r="BK397" s="104">
        <f>SUM(BH397:BJ397)</f>
        <v>5202.76</v>
      </c>
      <c r="BL397" s="123">
        <f>BJ397/BI397</f>
        <v>0.69204873263798194</v>
      </c>
      <c r="BM397" s="123">
        <f>BH397/BI397</f>
        <v>1.3277728441495877</v>
      </c>
      <c r="BN397" s="123" t="s">
        <v>4</v>
      </c>
      <c r="BO397" s="123">
        <v>60</v>
      </c>
      <c r="BP397" s="123"/>
      <c r="BQ397" s="123"/>
      <c r="BR397" s="98"/>
    </row>
    <row r="398" spans="1:70">
      <c r="A398" s="4" t="s">
        <v>5</v>
      </c>
      <c r="B398" s="5">
        <v>317.02199999999999</v>
      </c>
      <c r="C398" s="5">
        <v>148.41800000000001</v>
      </c>
      <c r="D398" s="5">
        <v>115.559</v>
      </c>
      <c r="E398" s="108">
        <f t="shared" si="836"/>
        <v>580.99900000000002</v>
      </c>
      <c r="F398" s="123">
        <f t="shared" si="837"/>
        <v>0.77860502095433159</v>
      </c>
      <c r="G398" s="123">
        <f t="shared" si="838"/>
        <v>2.1360077618617686</v>
      </c>
      <c r="L398" s="98"/>
      <c r="BG398" s="4" t="s">
        <v>4</v>
      </c>
      <c r="BH398" s="5">
        <v>1959.78</v>
      </c>
      <c r="BI398" s="5">
        <v>917.59400000000005</v>
      </c>
      <c r="BJ398" s="5">
        <v>635.02200000000005</v>
      </c>
      <c r="BK398" s="106">
        <f t="shared" ref="BK398:BK400" si="839">SUM(BH398:BJ398)</f>
        <v>3512.3959999999997</v>
      </c>
      <c r="BL398" s="123">
        <f t="shared" ref="BL398:BL400" si="840">BJ398/BI398</f>
        <v>0.69205116859962035</v>
      </c>
      <c r="BM398" s="123">
        <f t="shared" ref="BM398:BM400" si="841">BH398/BI398</f>
        <v>2.135781184271039</v>
      </c>
      <c r="BN398" s="123" t="s">
        <v>5</v>
      </c>
      <c r="BO398" s="123">
        <v>25</v>
      </c>
      <c r="BP398" s="123"/>
      <c r="BQ398" s="123"/>
      <c r="BR398" s="98"/>
    </row>
    <row r="399" spans="1:70" ht="15.75" thickBot="1">
      <c r="A399" s="7"/>
      <c r="B399" s="105">
        <f>SUM(B396:B398)</f>
        <v>709.05500000000006</v>
      </c>
      <c r="C399" s="107">
        <f>SUM(C396:C398)</f>
        <v>746.20400000000006</v>
      </c>
      <c r="D399" s="109">
        <f>SUM(D396:D398)</f>
        <v>580.99900000000002</v>
      </c>
      <c r="E399" s="101">
        <f t="shared" si="836"/>
        <v>2036.258</v>
      </c>
      <c r="F399" s="123">
        <f t="shared" si="837"/>
        <v>0.7786061184341011</v>
      </c>
      <c r="G399" s="123">
        <f t="shared" si="838"/>
        <v>0.9502160267165547</v>
      </c>
      <c r="L399" s="98"/>
      <c r="BG399" s="4" t="s">
        <v>5</v>
      </c>
      <c r="BH399" s="5">
        <v>955.40300000000002</v>
      </c>
      <c r="BI399" s="5">
        <v>871.93200000000002</v>
      </c>
      <c r="BJ399" s="5">
        <v>603.42200000000003</v>
      </c>
      <c r="BK399" s="108">
        <f t="shared" si="839"/>
        <v>2430.7570000000001</v>
      </c>
      <c r="BL399" s="123">
        <f t="shared" si="840"/>
        <v>0.69205167375437537</v>
      </c>
      <c r="BM399" s="123">
        <f t="shared" si="841"/>
        <v>1.0957310891216288</v>
      </c>
      <c r="BN399" s="123"/>
      <c r="BO399" s="123"/>
      <c r="BP399" s="123"/>
      <c r="BQ399" s="123"/>
      <c r="BR399" s="98"/>
    </row>
    <row r="400" spans="1:70" ht="16.5" thickTop="1" thickBot="1">
      <c r="A400" s="130"/>
      <c r="F400" s="124" t="s">
        <v>420</v>
      </c>
      <c r="G400" s="103">
        <f>AVERAGE(G396:G398)</f>
        <v>1.1514059907720127</v>
      </c>
      <c r="L400" s="98"/>
      <c r="BG400" s="7"/>
      <c r="BH400" s="105">
        <f>SUM(BH397:BH399)</f>
        <v>5202.7629999999999</v>
      </c>
      <c r="BI400" s="107">
        <f>SUM(BI397:BI399)</f>
        <v>3512.3959999999997</v>
      </c>
      <c r="BJ400" s="109">
        <f>SUM(BJ397:BJ399)</f>
        <v>2430.7539999999999</v>
      </c>
      <c r="BK400" s="101">
        <f t="shared" si="839"/>
        <v>11145.913</v>
      </c>
      <c r="BL400" s="123">
        <f t="shared" si="840"/>
        <v>0.69205009913460791</v>
      </c>
      <c r="BM400" s="123">
        <f t="shared" si="841"/>
        <v>1.4812575233544283</v>
      </c>
      <c r="BN400" s="123"/>
      <c r="BO400" s="123"/>
      <c r="BP400" s="123"/>
      <c r="BQ400" s="123"/>
      <c r="BR400" s="98"/>
    </row>
    <row r="401" spans="1:70" ht="15.75" thickTop="1">
      <c r="A401" s="130"/>
      <c r="L401" s="98"/>
      <c r="BG401" s="130"/>
      <c r="BH401" s="123"/>
      <c r="BI401" s="123"/>
      <c r="BJ401" s="123"/>
      <c r="BK401" s="123"/>
      <c r="BL401" s="124" t="s">
        <v>420</v>
      </c>
      <c r="BM401" s="103">
        <f>AVERAGE(BM397:BM399)</f>
        <v>1.5197617058474187</v>
      </c>
      <c r="BN401" s="123"/>
      <c r="BO401" s="123"/>
      <c r="BP401" s="123"/>
      <c r="BQ401" s="123"/>
      <c r="BR401" s="98"/>
    </row>
    <row r="402" spans="1:70" ht="15.75" thickBot="1">
      <c r="A402" s="140" t="s">
        <v>254</v>
      </c>
      <c r="J402" s="124" t="s">
        <v>218</v>
      </c>
      <c r="L402" s="98"/>
      <c r="BG402" s="130"/>
      <c r="BH402" s="123"/>
      <c r="BI402" s="123"/>
      <c r="BJ402" s="123"/>
      <c r="BK402" s="123"/>
      <c r="BL402" s="123"/>
      <c r="BM402" s="123"/>
      <c r="BN402" s="123"/>
      <c r="BO402" s="123"/>
      <c r="BP402" s="123"/>
      <c r="BQ402" s="123"/>
      <c r="BR402" s="98"/>
    </row>
    <row r="403" spans="1:70" ht="16.5" thickTop="1" thickBot="1">
      <c r="A403" s="1"/>
      <c r="B403" s="2" t="s">
        <v>8</v>
      </c>
      <c r="C403" s="2" t="s">
        <v>9</v>
      </c>
      <c r="D403" s="2" t="s">
        <v>10</v>
      </c>
      <c r="E403" s="3" t="s">
        <v>11</v>
      </c>
      <c r="F403" s="103" t="s">
        <v>16</v>
      </c>
      <c r="G403" s="103" t="s">
        <v>172</v>
      </c>
      <c r="H403" s="124" t="s">
        <v>171</v>
      </c>
      <c r="J403" s="123">
        <v>0.1</v>
      </c>
      <c r="K403" s="103" t="s">
        <v>212</v>
      </c>
      <c r="L403" s="98"/>
      <c r="BG403" s="140" t="s">
        <v>254</v>
      </c>
      <c r="BH403" s="123"/>
      <c r="BI403" s="123"/>
      <c r="BJ403" s="123"/>
      <c r="BK403" s="123"/>
      <c r="BL403" s="123"/>
      <c r="BM403" s="123"/>
      <c r="BN403" s="123"/>
      <c r="BO403" s="123"/>
      <c r="BP403" s="124" t="s">
        <v>218</v>
      </c>
      <c r="BQ403" s="123"/>
      <c r="BR403" s="98"/>
    </row>
    <row r="404" spans="1:70" ht="15.75" thickTop="1">
      <c r="A404" s="4" t="s">
        <v>3</v>
      </c>
      <c r="B404" s="100">
        <v>175.02600000000001</v>
      </c>
      <c r="C404" s="5">
        <v>236.08199999999999</v>
      </c>
      <c r="D404" s="5">
        <v>194.81899999999999</v>
      </c>
      <c r="E404" s="110">
        <f>SUM(B404:D404)</f>
        <v>605.92700000000002</v>
      </c>
      <c r="F404" s="123">
        <f>D404/(B404+C404)</f>
        <v>0.47388764023079089</v>
      </c>
      <c r="G404" s="123">
        <f>B404/C404</f>
        <v>0.74137799578112695</v>
      </c>
      <c r="H404" s="125">
        <f>ABS((E407-E399)/E399)</f>
        <v>0.11257610774273197</v>
      </c>
      <c r="J404" s="123">
        <v>0.05</v>
      </c>
      <c r="K404" s="123" t="s">
        <v>213</v>
      </c>
      <c r="L404" s="98"/>
      <c r="BG404" s="1"/>
      <c r="BH404" s="2" t="s">
        <v>8</v>
      </c>
      <c r="BI404" s="2" t="s">
        <v>9</v>
      </c>
      <c r="BJ404" s="2" t="s">
        <v>10</v>
      </c>
      <c r="BK404" s="3" t="s">
        <v>11</v>
      </c>
      <c r="BL404" s="103" t="s">
        <v>16</v>
      </c>
      <c r="BM404" s="103" t="s">
        <v>172</v>
      </c>
      <c r="BN404" s="124" t="s">
        <v>171</v>
      </c>
      <c r="BO404" s="123"/>
      <c r="BP404" s="123">
        <v>2.9000000000000001E-2</v>
      </c>
      <c r="BQ404" s="103" t="s">
        <v>212</v>
      </c>
      <c r="BR404" s="98"/>
    </row>
    <row r="405" spans="1:70">
      <c r="A405" s="4" t="s">
        <v>4</v>
      </c>
      <c r="B405" s="5">
        <v>159.82900000000001</v>
      </c>
      <c r="C405" s="5">
        <v>260.89400000000001</v>
      </c>
      <c r="D405" s="5">
        <v>199.376</v>
      </c>
      <c r="E405" s="112">
        <f t="shared" ref="E405:E406" si="842">SUM(B405:D405)</f>
        <v>620.09900000000005</v>
      </c>
      <c r="F405" s="123">
        <f t="shared" ref="F405:F407" si="843">D405/(B405+C405)</f>
        <v>0.47388899584762423</v>
      </c>
      <c r="G405" s="123">
        <f t="shared" ref="G405:G407" si="844">B405/C405</f>
        <v>0.61262045121773601</v>
      </c>
      <c r="J405" s="123">
        <v>0.08</v>
      </c>
      <c r="K405" s="123" t="s">
        <v>214</v>
      </c>
      <c r="L405" s="98"/>
      <c r="BG405" s="4" t="s">
        <v>3</v>
      </c>
      <c r="BH405" s="100">
        <v>2338.36</v>
      </c>
      <c r="BI405" s="5">
        <v>1860.39</v>
      </c>
      <c r="BJ405" s="5">
        <v>1120.07</v>
      </c>
      <c r="BK405" s="110">
        <f>SUM(BH405:BJ405)</f>
        <v>5318.82</v>
      </c>
      <c r="BL405" s="123">
        <f>BJ405/(BH405+BI405)</f>
        <v>0.26676272700208392</v>
      </c>
      <c r="BM405" s="123">
        <f>BH405/BI405</f>
        <v>1.2569192481146427</v>
      </c>
      <c r="BN405" s="125">
        <f>ABS((BK408-BK400)/BK400)</f>
        <v>3.5611080043420368E-2</v>
      </c>
      <c r="BO405" s="123"/>
      <c r="BP405" s="123">
        <f>BP404</f>
        <v>2.9000000000000001E-2</v>
      </c>
      <c r="BQ405" s="123" t="s">
        <v>213</v>
      </c>
      <c r="BR405" s="98"/>
    </row>
    <row r="406" spans="1:70">
      <c r="A406" s="4" t="s">
        <v>5</v>
      </c>
      <c r="B406" s="5">
        <v>271.072</v>
      </c>
      <c r="C406" s="5">
        <v>123.122</v>
      </c>
      <c r="D406" s="5">
        <v>186.804</v>
      </c>
      <c r="E406" s="108">
        <f t="shared" si="842"/>
        <v>580.99800000000005</v>
      </c>
      <c r="F406" s="123">
        <f t="shared" si="843"/>
        <v>0.47388849145344675</v>
      </c>
      <c r="G406" s="123">
        <f t="shared" si="844"/>
        <v>2.2016536443527559</v>
      </c>
      <c r="J406" s="103">
        <v>0.12</v>
      </c>
      <c r="K406" s="103" t="s">
        <v>215</v>
      </c>
      <c r="L406" s="98"/>
      <c r="BG406" s="4" t="s">
        <v>4</v>
      </c>
      <c r="BH406" s="5">
        <v>2003.66</v>
      </c>
      <c r="BI406" s="5">
        <v>990.78800000000001</v>
      </c>
      <c r="BJ406" s="5">
        <v>798.80499999999995</v>
      </c>
      <c r="BK406" s="112">
        <f t="shared" ref="BK406:BK407" si="845">SUM(BH406:BJ406)</f>
        <v>3793.2530000000002</v>
      </c>
      <c r="BL406" s="123">
        <f t="shared" ref="BL406:BL408" si="846">BJ406/(BH406+BI406)</f>
        <v>0.26676202091337031</v>
      </c>
      <c r="BM406" s="123">
        <f t="shared" ref="BM406:BM408" si="847">BH406/BI406</f>
        <v>2.0222893293015258</v>
      </c>
      <c r="BN406" s="123"/>
      <c r="BO406" s="123"/>
      <c r="BP406" s="123">
        <f>BP404*0.5</f>
        <v>1.4500000000000001E-2</v>
      </c>
      <c r="BQ406" s="123" t="s">
        <v>214</v>
      </c>
      <c r="BR406" s="98"/>
    </row>
    <row r="407" spans="1:70" ht="15.75" thickBot="1">
      <c r="A407" s="7"/>
      <c r="B407" s="111">
        <f>SUM(B404:B406)</f>
        <v>605.92700000000002</v>
      </c>
      <c r="C407" s="113">
        <f t="shared" ref="C407:D407" si="848">SUM(C404:C406)</f>
        <v>620.09799999999996</v>
      </c>
      <c r="D407" s="109">
        <f t="shared" si="848"/>
        <v>580.99900000000002</v>
      </c>
      <c r="E407" s="102">
        <f>SUM(E404:E406)</f>
        <v>1807.0240000000001</v>
      </c>
      <c r="F407" s="123">
        <f t="shared" si="843"/>
        <v>0.47388837911135578</v>
      </c>
      <c r="G407" s="123">
        <f t="shared" si="844"/>
        <v>0.97714716061009721</v>
      </c>
      <c r="J407" s="103">
        <v>7.0000000000000007E-2</v>
      </c>
      <c r="K407" s="103" t="s">
        <v>216</v>
      </c>
      <c r="L407" s="98"/>
      <c r="BG407" s="4" t="s">
        <v>5</v>
      </c>
      <c r="BH407" s="5">
        <v>976.80100000000004</v>
      </c>
      <c r="BI407" s="5">
        <v>942.07399999999996</v>
      </c>
      <c r="BJ407" s="5">
        <v>511.88299999999998</v>
      </c>
      <c r="BK407" s="108">
        <f t="shared" si="845"/>
        <v>2430.7579999999998</v>
      </c>
      <c r="BL407" s="123">
        <f t="shared" si="846"/>
        <v>0.26676203504657675</v>
      </c>
      <c r="BM407" s="123">
        <f t="shared" si="847"/>
        <v>1.0368622847037494</v>
      </c>
      <c r="BN407" s="123"/>
      <c r="BO407" s="123"/>
      <c r="BP407" s="103">
        <f>BP406</f>
        <v>1.4500000000000001E-2</v>
      </c>
      <c r="BQ407" s="103" t="s">
        <v>215</v>
      </c>
      <c r="BR407" s="98"/>
    </row>
    <row r="408" spans="1:70" ht="16.5" thickTop="1" thickBot="1">
      <c r="A408" s="130"/>
      <c r="F408" s="124" t="s">
        <v>420</v>
      </c>
      <c r="G408" s="103">
        <f>AVERAGE(G404:G406)</f>
        <v>1.185217363783873</v>
      </c>
      <c r="J408" s="103">
        <v>0.04</v>
      </c>
      <c r="K408" s="103" t="s">
        <v>217</v>
      </c>
      <c r="L408" s="98"/>
      <c r="BG408" s="7"/>
      <c r="BH408" s="111">
        <f>SUM(BH405:BH407)</f>
        <v>5318.8210000000008</v>
      </c>
      <c r="BI408" s="113">
        <f t="shared" ref="BI408:BJ408" si="849">SUM(BI405:BI407)</f>
        <v>3793.252</v>
      </c>
      <c r="BJ408" s="109">
        <f t="shared" si="849"/>
        <v>2430.7579999999998</v>
      </c>
      <c r="BK408" s="102">
        <f>SUM(BK405:BK407)</f>
        <v>11542.831</v>
      </c>
      <c r="BL408" s="123">
        <f t="shared" si="846"/>
        <v>0.26676234924807996</v>
      </c>
      <c r="BM408" s="123">
        <f t="shared" si="847"/>
        <v>1.4021797128163382</v>
      </c>
      <c r="BN408" s="123"/>
      <c r="BO408" s="123"/>
      <c r="BP408" s="103">
        <f>BP404*0.3</f>
        <v>8.6999999999999994E-3</v>
      </c>
      <c r="BQ408" s="103" t="s">
        <v>216</v>
      </c>
      <c r="BR408" s="98"/>
    </row>
    <row r="409" spans="1:70" ht="15.75" thickTop="1">
      <c r="A409" s="130" t="s">
        <v>12</v>
      </c>
      <c r="B409" s="123">
        <f>B404/B396</f>
        <v>0.854160363086233</v>
      </c>
      <c r="C409" s="123" t="s">
        <v>163</v>
      </c>
      <c r="D409" s="123">
        <f>C404/C396</f>
        <v>0.83288763450343972</v>
      </c>
      <c r="E409" s="124" t="s">
        <v>255</v>
      </c>
      <c r="J409" s="138" t="s">
        <v>249</v>
      </c>
      <c r="L409" s="98"/>
      <c r="BG409" s="130"/>
      <c r="BH409" s="123"/>
      <c r="BI409" s="123"/>
      <c r="BJ409" s="123"/>
      <c r="BK409" s="123"/>
      <c r="BL409" s="124" t="s">
        <v>420</v>
      </c>
      <c r="BM409" s="103">
        <f>AVERAGE(BM405:BM407)</f>
        <v>1.4386902873733061</v>
      </c>
      <c r="BN409" s="123"/>
      <c r="BO409" s="123"/>
      <c r="BP409" s="103">
        <f>BP408</f>
        <v>8.6999999999999994E-3</v>
      </c>
      <c r="BQ409" s="103" t="s">
        <v>217</v>
      </c>
      <c r="BR409" s="98"/>
    </row>
    <row r="410" spans="1:70">
      <c r="A410" s="130" t="s">
        <v>13</v>
      </c>
      <c r="B410" s="123">
        <f t="shared" ref="B410:B411" si="850">B405/B397</f>
        <v>0.85413872158954274</v>
      </c>
      <c r="C410" s="123" t="s">
        <v>164</v>
      </c>
      <c r="D410" s="123">
        <f t="shared" ref="D410:D411" si="851">C405/C397</f>
        <v>0.82998447521123886</v>
      </c>
      <c r="E410" s="123">
        <f>VAR(G396:G398)</f>
        <v>0.73115207279810623</v>
      </c>
      <c r="F410" s="124">
        <f>STDEV(G396:G398)/G400</f>
        <v>0.74263493085999499</v>
      </c>
      <c r="G410" s="124" t="s">
        <v>449</v>
      </c>
      <c r="L410" s="98"/>
      <c r="BG410" s="130" t="s">
        <v>12</v>
      </c>
      <c r="BH410" s="123">
        <f>BH405/BH397</f>
        <v>1.0221981307757544</v>
      </c>
      <c r="BI410" s="123" t="s">
        <v>163</v>
      </c>
      <c r="BJ410" s="123">
        <f>BI405/BI397</f>
        <v>1.0798202998485087</v>
      </c>
      <c r="BK410" s="124" t="s">
        <v>255</v>
      </c>
      <c r="BL410" s="123"/>
      <c r="BM410" s="123"/>
      <c r="BN410" s="123"/>
      <c r="BO410" s="123"/>
      <c r="BP410" s="139" t="s">
        <v>248</v>
      </c>
      <c r="BQ410" s="123"/>
      <c r="BR410" s="98"/>
    </row>
    <row r="411" spans="1:70">
      <c r="A411" s="130" t="s">
        <v>14</v>
      </c>
      <c r="B411" s="123">
        <f t="shared" si="850"/>
        <v>0.85505737772141999</v>
      </c>
      <c r="C411" s="123" t="s">
        <v>165</v>
      </c>
      <c r="D411" s="123">
        <f t="shared" si="851"/>
        <v>0.82956245199369349</v>
      </c>
      <c r="G411" s="124" t="s">
        <v>438</v>
      </c>
      <c r="L411" s="98"/>
      <c r="BG411" s="130" t="s">
        <v>13</v>
      </c>
      <c r="BH411" s="123">
        <f t="shared" ref="BH411:BH412" si="852">BH406/BH398</f>
        <v>1.0223902682954209</v>
      </c>
      <c r="BI411" s="123" t="s">
        <v>164</v>
      </c>
      <c r="BJ411" s="123">
        <f t="shared" ref="BJ411:BJ412" si="853">BI406/BI398</f>
        <v>1.0797673044941445</v>
      </c>
      <c r="BK411" s="123">
        <f>VAR(BM397:BM399)</f>
        <v>0.29807084236709569</v>
      </c>
      <c r="BL411" s="124">
        <f>STDEV(BM397:BM399)/BM401</f>
        <v>0.35923963815482518</v>
      </c>
      <c r="BM411" s="124" t="s">
        <v>449</v>
      </c>
      <c r="BN411" s="123"/>
      <c r="BO411" s="123"/>
      <c r="BP411" s="123"/>
      <c r="BQ411" s="123"/>
      <c r="BR411" s="98"/>
    </row>
    <row r="412" spans="1:70">
      <c r="A412" s="130" t="s">
        <v>15</v>
      </c>
      <c r="B412" s="123">
        <f>E404/E396</f>
        <v>0.85455450627312934</v>
      </c>
      <c r="C412" s="123" t="s">
        <v>67</v>
      </c>
      <c r="D412" s="123">
        <f>E405/E397</f>
        <v>0.83100577188781077</v>
      </c>
      <c r="E412" s="124" t="s">
        <v>256</v>
      </c>
      <c r="L412" s="98"/>
      <c r="BG412" s="130" t="s">
        <v>14</v>
      </c>
      <c r="BH412" s="123">
        <f t="shared" si="852"/>
        <v>1.0223968314941443</v>
      </c>
      <c r="BI412" s="123" t="s">
        <v>165</v>
      </c>
      <c r="BJ412" s="123">
        <f t="shared" si="853"/>
        <v>1.0804443465774853</v>
      </c>
      <c r="BK412" s="123"/>
      <c r="BL412" s="123"/>
      <c r="BM412" s="124" t="s">
        <v>438</v>
      </c>
      <c r="BN412" s="123"/>
      <c r="BO412" s="123"/>
      <c r="BP412" s="123"/>
      <c r="BQ412" s="123"/>
      <c r="BR412" s="98"/>
    </row>
    <row r="413" spans="1:70">
      <c r="A413" s="130" t="s">
        <v>170</v>
      </c>
      <c r="B413" s="123">
        <f>VAR(B409:B411)</f>
        <v>2.7483878312571819E-7</v>
      </c>
      <c r="C413" s="123" t="s">
        <v>170</v>
      </c>
      <c r="D413" s="123">
        <f>VAR(D409:D411)</f>
        <v>3.2772126991936293E-6</v>
      </c>
      <c r="E413" s="123">
        <f>VAR(G404:G406)</f>
        <v>0.77900166066302701</v>
      </c>
      <c r="F413" s="124">
        <f>STDEV(G404:G406)/G408</f>
        <v>0.74468256564763546</v>
      </c>
      <c r="G413" s="124" t="s">
        <v>449</v>
      </c>
      <c r="L413" s="98"/>
      <c r="BG413" s="130" t="s">
        <v>15</v>
      </c>
      <c r="BH413" s="123">
        <f>BK405/BK397</f>
        <v>1.0223073906926323</v>
      </c>
      <c r="BI413" s="123" t="s">
        <v>67</v>
      </c>
      <c r="BJ413" s="123">
        <f>BK406/BK398</f>
        <v>1.0799616558041862</v>
      </c>
      <c r="BK413" s="124" t="s">
        <v>256</v>
      </c>
      <c r="BL413" s="123"/>
      <c r="BM413" s="123"/>
      <c r="BN413" s="123"/>
      <c r="BO413" s="123"/>
      <c r="BP413" s="123"/>
      <c r="BQ413" s="123"/>
      <c r="BR413" s="98"/>
    </row>
    <row r="414" spans="1:70">
      <c r="A414" s="130"/>
      <c r="G414" s="124" t="s">
        <v>438</v>
      </c>
      <c r="L414" s="98"/>
      <c r="BG414" s="130" t="s">
        <v>170</v>
      </c>
      <c r="BH414" s="123">
        <f>VAR(BH410:BH412)</f>
        <v>1.274031292162407E-8</v>
      </c>
      <c r="BI414" s="123" t="s">
        <v>170</v>
      </c>
      <c r="BJ414" s="123">
        <f>VAR(BJ410:BJ412)</f>
        <v>1.4177146835752645E-7</v>
      </c>
      <c r="BK414" s="123">
        <f>VAR(BM405:BM407)</f>
        <v>0.26754714809105762</v>
      </c>
      <c r="BL414" s="124">
        <f>STDEV(BM405:BM407)/BM409</f>
        <v>0.35952810966395049</v>
      </c>
      <c r="BM414" s="124" t="s">
        <v>449</v>
      </c>
      <c r="BN414" s="123"/>
      <c r="BO414" s="123"/>
      <c r="BP414" s="123"/>
      <c r="BQ414" s="123"/>
      <c r="BR414" s="98"/>
    </row>
    <row r="415" spans="1:70">
      <c r="A415" s="130"/>
      <c r="D415" s="123" t="s">
        <v>444</v>
      </c>
      <c r="L415" s="98"/>
      <c r="BG415" s="130"/>
      <c r="BH415" s="123"/>
      <c r="BI415" s="123"/>
      <c r="BJ415" s="123"/>
      <c r="BK415" s="123"/>
      <c r="BL415" s="123"/>
      <c r="BM415" s="124" t="s">
        <v>438</v>
      </c>
      <c r="BN415" s="123"/>
      <c r="BO415" s="123"/>
      <c r="BP415" s="123"/>
      <c r="BQ415" s="123"/>
      <c r="BR415" s="98"/>
    </row>
    <row r="416" spans="1:70">
      <c r="A416" s="130"/>
      <c r="B416" s="123">
        <f>B409</f>
        <v>0.854160363086233</v>
      </c>
      <c r="D416" s="123">
        <f>ABS(C404-B405)/C404</f>
        <v>0.32299370557687579</v>
      </c>
      <c r="E416" s="123" t="s">
        <v>446</v>
      </c>
      <c r="L416" s="98"/>
      <c r="BG416" s="130"/>
      <c r="BH416" s="123"/>
      <c r="BI416" s="123"/>
      <c r="BJ416" s="123" t="s">
        <v>444</v>
      </c>
      <c r="BK416" s="123"/>
      <c r="BL416" s="123"/>
      <c r="BM416" s="123"/>
      <c r="BN416" s="123"/>
      <c r="BO416" s="123"/>
      <c r="BP416" s="123"/>
      <c r="BQ416" s="123"/>
      <c r="BR416" s="98"/>
    </row>
    <row r="417" spans="1:70">
      <c r="A417" s="130"/>
      <c r="B417" s="123">
        <f t="shared" ref="B417:B418" si="854">B410</f>
        <v>0.85413872158954274</v>
      </c>
      <c r="D417" s="123">
        <f>ABS((C396-B397)/C396)</f>
        <v>0.33983771388251899</v>
      </c>
      <c r="E417" s="123" t="s">
        <v>445</v>
      </c>
      <c r="L417" s="98"/>
      <c r="BG417" s="130"/>
      <c r="BH417" s="123">
        <f>BH410</f>
        <v>1.0221981307757544</v>
      </c>
      <c r="BI417" s="123"/>
      <c r="BJ417" s="123">
        <f>ABS(BI405-BH406)/BI405</f>
        <v>7.7010734308397694E-2</v>
      </c>
      <c r="BK417" s="123" t="s">
        <v>446</v>
      </c>
      <c r="BL417" s="123"/>
      <c r="BM417" s="123"/>
      <c r="BN417" s="123"/>
      <c r="BO417" s="123"/>
      <c r="BP417" s="123"/>
      <c r="BQ417" s="123"/>
      <c r="BR417" s="98"/>
    </row>
    <row r="418" spans="1:70">
      <c r="A418" s="130"/>
      <c r="B418" s="123">
        <f t="shared" si="854"/>
        <v>0.85505737772141999</v>
      </c>
      <c r="L418" s="98"/>
      <c r="BG418" s="130"/>
      <c r="BH418" s="123">
        <f t="shared" ref="BH418:BH419" si="855">BH411</f>
        <v>1.0223902682954209</v>
      </c>
      <c r="BI418" s="123"/>
      <c r="BJ418" s="123">
        <f>ABS((BI397-BH398)/BI397)</f>
        <v>0.13750892406275581</v>
      </c>
      <c r="BK418" s="123" t="s">
        <v>445</v>
      </c>
      <c r="BL418" s="123"/>
      <c r="BM418" s="123"/>
      <c r="BN418" s="123"/>
      <c r="BO418" s="123"/>
      <c r="BP418" s="123"/>
      <c r="BQ418" s="123"/>
      <c r="BR418" s="98"/>
    </row>
    <row r="419" spans="1:70">
      <c r="A419" s="130"/>
      <c r="B419" s="123">
        <f>D409</f>
        <v>0.83288763450343972</v>
      </c>
      <c r="L419" s="98"/>
      <c r="BG419" s="130"/>
      <c r="BH419" s="123">
        <f t="shared" si="855"/>
        <v>1.0223968314941443</v>
      </c>
      <c r="BI419" s="123"/>
      <c r="BJ419" s="123"/>
      <c r="BK419" s="123"/>
      <c r="BL419" s="123"/>
      <c r="BM419" s="123"/>
      <c r="BN419" s="123"/>
      <c r="BO419" s="123"/>
      <c r="BP419" s="123"/>
      <c r="BQ419" s="123"/>
      <c r="BR419" s="98"/>
    </row>
    <row r="420" spans="1:70">
      <c r="A420" s="130"/>
      <c r="B420" s="123">
        <f t="shared" ref="B420:B421" si="856">D410</f>
        <v>0.82998447521123886</v>
      </c>
      <c r="L420" s="98"/>
      <c r="BG420" s="130"/>
      <c r="BH420" s="123">
        <f>BJ410</f>
        <v>1.0798202998485087</v>
      </c>
      <c r="BI420" s="123"/>
      <c r="BJ420" s="123"/>
      <c r="BK420" s="123"/>
      <c r="BL420" s="123"/>
      <c r="BM420" s="123"/>
      <c r="BN420" s="123"/>
      <c r="BO420" s="123"/>
      <c r="BP420" s="123"/>
      <c r="BQ420" s="123"/>
      <c r="BR420" s="98"/>
    </row>
    <row r="421" spans="1:70">
      <c r="A421" s="130"/>
      <c r="B421" s="123">
        <f t="shared" si="856"/>
        <v>0.82956245199369349</v>
      </c>
      <c r="L421" s="98"/>
      <c r="BG421" s="130"/>
      <c r="BH421" s="123">
        <f t="shared" ref="BH421:BH422" si="857">BJ411</f>
        <v>1.0797673044941445</v>
      </c>
      <c r="BI421" s="123"/>
      <c r="BJ421" s="123"/>
      <c r="BK421" s="123"/>
      <c r="BL421" s="123"/>
      <c r="BM421" s="123"/>
      <c r="BN421" s="123"/>
      <c r="BO421" s="123"/>
      <c r="BP421" s="123"/>
      <c r="BQ421" s="123"/>
      <c r="BR421" s="98"/>
    </row>
    <row r="422" spans="1:70" ht="15.75" thickBot="1">
      <c r="A422" s="131" t="s">
        <v>170</v>
      </c>
      <c r="B422" s="126">
        <f>VAR(B416:B421)</f>
        <v>1.6908468717010658E-4</v>
      </c>
      <c r="C422" s="126"/>
      <c r="D422" s="126"/>
      <c r="E422" s="126"/>
      <c r="F422" s="126"/>
      <c r="G422" s="126"/>
      <c r="H422" s="126"/>
      <c r="I422" s="126"/>
      <c r="J422" s="126"/>
      <c r="K422" s="126"/>
      <c r="L422" s="127"/>
      <c r="BG422" s="130"/>
      <c r="BH422" s="123">
        <f t="shared" si="857"/>
        <v>1.0804443465774853</v>
      </c>
      <c r="BI422" s="123"/>
      <c r="BJ422" s="123"/>
      <c r="BK422" s="123"/>
      <c r="BL422" s="123"/>
      <c r="BM422" s="123"/>
      <c r="BN422" s="123"/>
      <c r="BO422" s="123"/>
      <c r="BP422" s="123"/>
      <c r="BQ422" s="123"/>
      <c r="BR422" s="98"/>
    </row>
    <row r="423" spans="1:70" ht="16.5" thickTop="1" thickBot="1">
      <c r="A423" s="128"/>
      <c r="B423" s="121"/>
      <c r="C423" s="121"/>
      <c r="D423" s="121"/>
      <c r="E423" s="121"/>
      <c r="F423" s="133" t="s">
        <v>239</v>
      </c>
      <c r="G423" s="121"/>
      <c r="H423" s="121"/>
      <c r="I423" s="129" t="s">
        <v>226</v>
      </c>
      <c r="J423" s="121"/>
      <c r="K423" s="121"/>
      <c r="L423" s="122"/>
      <c r="BG423" s="131" t="s">
        <v>170</v>
      </c>
      <c r="BH423" s="126">
        <f>VAR(BH417:BH422)</f>
        <v>9.9823405223114169E-4</v>
      </c>
      <c r="BI423" s="126"/>
      <c r="BJ423" s="126"/>
      <c r="BK423" s="126"/>
      <c r="BL423" s="126"/>
      <c r="BM423" s="126"/>
      <c r="BN423" s="126"/>
      <c r="BO423" s="126"/>
      <c r="BP423" s="126"/>
      <c r="BQ423" s="126"/>
      <c r="BR423" s="127"/>
    </row>
    <row r="424" spans="1:70" ht="16.5" thickTop="1" thickBot="1">
      <c r="A424" s="130" t="s">
        <v>167</v>
      </c>
      <c r="H424" s="123" t="s">
        <v>168</v>
      </c>
      <c r="L424" s="98"/>
      <c r="BF424" s="123"/>
      <c r="BG424" s="128"/>
      <c r="BH424" s="121"/>
      <c r="BI424" s="121"/>
      <c r="BJ424" s="121"/>
      <c r="BK424" s="121"/>
      <c r="BL424" s="133" t="s">
        <v>239</v>
      </c>
      <c r="BM424" s="121"/>
      <c r="BN424" s="121"/>
      <c r="BO424" s="129" t="s">
        <v>400</v>
      </c>
      <c r="BP424" s="121"/>
      <c r="BQ424" s="121"/>
      <c r="BR424" s="122"/>
    </row>
    <row r="425" spans="1:70" ht="16.5" thickTop="1" thickBot="1">
      <c r="A425" s="1"/>
      <c r="B425" s="2" t="s">
        <v>0</v>
      </c>
      <c r="C425" s="2" t="s">
        <v>1</v>
      </c>
      <c r="D425" s="2" t="s">
        <v>2</v>
      </c>
      <c r="E425" s="3" t="s">
        <v>6</v>
      </c>
      <c r="F425" s="103" t="s">
        <v>70</v>
      </c>
      <c r="G425" s="103" t="s">
        <v>172</v>
      </c>
      <c r="H425" s="123" t="s">
        <v>3</v>
      </c>
      <c r="I425" s="123">
        <v>6</v>
      </c>
      <c r="K425" s="123" t="s">
        <v>19</v>
      </c>
      <c r="L425" s="98">
        <v>0.28422599999999998</v>
      </c>
      <c r="BF425" s="123"/>
      <c r="BG425" s="130" t="s">
        <v>167</v>
      </c>
      <c r="BH425" s="123"/>
      <c r="BI425" s="123"/>
      <c r="BJ425" s="123"/>
      <c r="BK425" s="123"/>
      <c r="BL425" s="123"/>
      <c r="BM425" s="123"/>
      <c r="BN425" s="123" t="s">
        <v>168</v>
      </c>
      <c r="BO425" s="123"/>
      <c r="BP425" s="123"/>
      <c r="BQ425" s="123"/>
      <c r="BR425" s="98"/>
    </row>
    <row r="426" spans="1:70" ht="15.75" thickTop="1">
      <c r="A426" s="4" t="s">
        <v>3</v>
      </c>
      <c r="B426" s="100">
        <v>751.22500000000002</v>
      </c>
      <c r="C426" s="5">
        <v>675.17499999999995</v>
      </c>
      <c r="D426" s="5">
        <v>472.024</v>
      </c>
      <c r="E426" s="104">
        <f>SUM(B426:D426)</f>
        <v>1898.424</v>
      </c>
      <c r="F426" s="123">
        <f>D426/C426</f>
        <v>0.69911356315029438</v>
      </c>
      <c r="G426" s="123">
        <f>B426/C426</f>
        <v>1.1126374643610917</v>
      </c>
      <c r="H426" s="123" t="s">
        <v>4</v>
      </c>
      <c r="I426" s="123">
        <v>12</v>
      </c>
      <c r="L426" s="98"/>
      <c r="BF426" s="123"/>
      <c r="BG426" s="1"/>
      <c r="BH426" s="2" t="s">
        <v>0</v>
      </c>
      <c r="BI426" s="2" t="s">
        <v>1</v>
      </c>
      <c r="BJ426" s="2" t="s">
        <v>2</v>
      </c>
      <c r="BK426" s="3" t="s">
        <v>6</v>
      </c>
      <c r="BL426" s="103" t="s">
        <v>70</v>
      </c>
      <c r="BM426" s="103" t="s">
        <v>172</v>
      </c>
      <c r="BN426" s="123" t="s">
        <v>3</v>
      </c>
      <c r="BO426" s="123">
        <v>30</v>
      </c>
      <c r="BP426" s="123"/>
      <c r="BQ426" s="123" t="s">
        <v>19</v>
      </c>
      <c r="BR426" s="98">
        <v>0.15299299999999999</v>
      </c>
    </row>
    <row r="427" spans="1:70">
      <c r="A427" s="4" t="s">
        <v>4</v>
      </c>
      <c r="B427" s="5">
        <v>792.97400000000005</v>
      </c>
      <c r="C427" s="5">
        <v>362.51100000000002</v>
      </c>
      <c r="D427" s="5">
        <v>253.43600000000001</v>
      </c>
      <c r="E427" s="106">
        <f t="shared" ref="E427:E429" si="858">SUM(B427:D427)</f>
        <v>1408.921</v>
      </c>
      <c r="F427" s="123">
        <f t="shared" ref="F427:F429" si="859">D427/C427</f>
        <v>0.69911257865278564</v>
      </c>
      <c r="G427" s="123">
        <f t="shared" ref="G427:G429" si="860">B427/C427</f>
        <v>2.1874481050230199</v>
      </c>
      <c r="H427" s="123" t="s">
        <v>5</v>
      </c>
      <c r="I427" s="123">
        <v>4</v>
      </c>
      <c r="L427" s="98"/>
      <c r="BF427" s="123"/>
      <c r="BG427" s="4" t="s">
        <v>3</v>
      </c>
      <c r="BH427" s="100">
        <v>35800.400000000001</v>
      </c>
      <c r="BI427" s="5">
        <v>16334.4</v>
      </c>
      <c r="BJ427" s="5">
        <v>7350.02</v>
      </c>
      <c r="BK427" s="104">
        <f>SUM(BH427:BJ427)</f>
        <v>59484.820000000007</v>
      </c>
      <c r="BL427" s="123">
        <f>BJ427/BI427</f>
        <v>0.44997183857380746</v>
      </c>
      <c r="BM427" s="123">
        <f>BH427/BI427</f>
        <v>2.1917180918797143</v>
      </c>
      <c r="BN427" s="123" t="s">
        <v>4</v>
      </c>
      <c r="BO427" s="123">
        <v>60</v>
      </c>
      <c r="BP427" s="123"/>
      <c r="BQ427" s="123"/>
      <c r="BR427" s="98"/>
    </row>
    <row r="428" spans="1:70">
      <c r="A428" s="4" t="s">
        <v>5</v>
      </c>
      <c r="B428" s="5">
        <v>354.22500000000002</v>
      </c>
      <c r="C428" s="5">
        <v>371.23500000000001</v>
      </c>
      <c r="D428" s="5">
        <v>259.536</v>
      </c>
      <c r="E428" s="108">
        <f t="shared" si="858"/>
        <v>984.99600000000009</v>
      </c>
      <c r="F428" s="123">
        <f t="shared" si="859"/>
        <v>0.69911511576225305</v>
      </c>
      <c r="G428" s="123">
        <f t="shared" si="860"/>
        <v>0.95417996686734818</v>
      </c>
      <c r="L428" s="98"/>
      <c r="BF428" s="123"/>
      <c r="BG428" s="4" t="s">
        <v>4</v>
      </c>
      <c r="BH428" s="5">
        <v>16097</v>
      </c>
      <c r="BI428" s="5">
        <v>10438.5</v>
      </c>
      <c r="BJ428" s="5">
        <v>4697.0600000000004</v>
      </c>
      <c r="BK428" s="106">
        <f t="shared" ref="BK428:BK430" si="861">SUM(BH428:BJ428)</f>
        <v>31232.560000000001</v>
      </c>
      <c r="BL428" s="123">
        <f t="shared" ref="BL428:BL430" si="862">BJ428/BI428</f>
        <v>0.44997461321071042</v>
      </c>
      <c r="BM428" s="123">
        <f t="shared" ref="BM428:BM430" si="863">BH428/BI428</f>
        <v>1.5420798007376539</v>
      </c>
      <c r="BN428" s="123" t="s">
        <v>5</v>
      </c>
      <c r="BO428" s="123">
        <v>25</v>
      </c>
      <c r="BP428" s="123"/>
      <c r="BQ428" s="123"/>
      <c r="BR428" s="98"/>
    </row>
    <row r="429" spans="1:70" ht="15.75" thickBot="1">
      <c r="A429" s="7"/>
      <c r="B429" s="105">
        <f>SUM(B426:B428)</f>
        <v>1898.424</v>
      </c>
      <c r="C429" s="107">
        <f>SUM(C426:C428)</f>
        <v>1408.9209999999998</v>
      </c>
      <c r="D429" s="109">
        <f>SUM(D426:D428)</f>
        <v>984.99600000000009</v>
      </c>
      <c r="E429" s="101">
        <f t="shared" si="858"/>
        <v>4292.3410000000003</v>
      </c>
      <c r="F429" s="123">
        <f t="shared" si="859"/>
        <v>0.69911371893810959</v>
      </c>
      <c r="G429" s="123">
        <f t="shared" si="860"/>
        <v>1.3474311192749631</v>
      </c>
      <c r="L429" s="98"/>
      <c r="BF429" s="123"/>
      <c r="BG429" s="4" t="s">
        <v>5</v>
      </c>
      <c r="BH429" s="5">
        <v>7587.41</v>
      </c>
      <c r="BI429" s="5">
        <v>4459.67</v>
      </c>
      <c r="BJ429" s="5">
        <v>2006.73</v>
      </c>
      <c r="BK429" s="108">
        <f t="shared" si="861"/>
        <v>14053.81</v>
      </c>
      <c r="BL429" s="123">
        <f t="shared" si="862"/>
        <v>0.44997275583170954</v>
      </c>
      <c r="BM429" s="123">
        <f t="shared" si="863"/>
        <v>1.7013388883033946</v>
      </c>
      <c r="BN429" s="123"/>
      <c r="BO429" s="123"/>
      <c r="BP429" s="123"/>
      <c r="BQ429" s="123"/>
      <c r="BR429" s="98"/>
    </row>
    <row r="430" spans="1:70" ht="16.5" thickTop="1" thickBot="1">
      <c r="A430" s="130"/>
      <c r="F430" s="124" t="s">
        <v>420</v>
      </c>
      <c r="G430" s="103">
        <f>AVERAGE(G426:G428)</f>
        <v>1.4180885120838198</v>
      </c>
      <c r="L430" s="98"/>
      <c r="BF430" s="123"/>
      <c r="BG430" s="7"/>
      <c r="BH430" s="105">
        <f>SUM(BH427:BH429)</f>
        <v>59484.81</v>
      </c>
      <c r="BI430" s="107">
        <f>SUM(BI427:BI429)</f>
        <v>31232.57</v>
      </c>
      <c r="BJ430" s="109">
        <f>SUM(BJ427:BJ429)</f>
        <v>14053.810000000001</v>
      </c>
      <c r="BK430" s="101">
        <f t="shared" si="861"/>
        <v>104771.19</v>
      </c>
      <c r="BL430" s="123">
        <f t="shared" si="862"/>
        <v>0.44997289688296549</v>
      </c>
      <c r="BM430" s="123">
        <f t="shared" si="863"/>
        <v>1.9045762164304763</v>
      </c>
      <c r="BN430" s="123"/>
      <c r="BO430" s="123"/>
      <c r="BP430" s="123"/>
      <c r="BQ430" s="123"/>
      <c r="BR430" s="98"/>
    </row>
    <row r="431" spans="1:70" ht="15.75" thickTop="1">
      <c r="A431" s="130"/>
      <c r="L431" s="98"/>
      <c r="BF431" s="123"/>
      <c r="BG431" s="130"/>
      <c r="BH431" s="123"/>
      <c r="BI431" s="123"/>
      <c r="BJ431" s="123"/>
      <c r="BK431" s="123"/>
      <c r="BL431" s="124" t="s">
        <v>420</v>
      </c>
      <c r="BM431" s="103">
        <f>AVERAGE(BM427:BM429)</f>
        <v>1.8117122603069209</v>
      </c>
      <c r="BN431" s="123"/>
      <c r="BO431" s="123"/>
      <c r="BP431" s="123"/>
      <c r="BQ431" s="123"/>
      <c r="BR431" s="98"/>
    </row>
    <row r="432" spans="1:70" ht="15.75" thickBot="1">
      <c r="A432" s="140" t="s">
        <v>254</v>
      </c>
      <c r="J432" s="124" t="s">
        <v>218</v>
      </c>
      <c r="L432" s="98"/>
      <c r="BF432" s="123"/>
      <c r="BG432" s="130"/>
      <c r="BH432" s="123"/>
      <c r="BI432" s="123"/>
      <c r="BJ432" s="123"/>
      <c r="BK432" s="123"/>
      <c r="BL432" s="123"/>
      <c r="BM432" s="123"/>
      <c r="BN432" s="123"/>
      <c r="BO432" s="123"/>
      <c r="BP432" s="123"/>
      <c r="BQ432" s="123"/>
      <c r="BR432" s="98"/>
    </row>
    <row r="433" spans="1:70" ht="16.5" thickTop="1" thickBot="1">
      <c r="A433" s="1"/>
      <c r="B433" s="2" t="s">
        <v>8</v>
      </c>
      <c r="C433" s="2" t="s">
        <v>9</v>
      </c>
      <c r="D433" s="2" t="s">
        <v>10</v>
      </c>
      <c r="E433" s="3" t="s">
        <v>11</v>
      </c>
      <c r="F433" s="103" t="s">
        <v>16</v>
      </c>
      <c r="G433" s="103" t="s">
        <v>172</v>
      </c>
      <c r="H433" s="124" t="s">
        <v>171</v>
      </c>
      <c r="J433" s="123">
        <v>0.15</v>
      </c>
      <c r="K433" s="103" t="s">
        <v>212</v>
      </c>
      <c r="L433" s="98"/>
      <c r="BF433" s="123"/>
      <c r="BG433" s="140" t="s">
        <v>254</v>
      </c>
      <c r="BH433" s="123"/>
      <c r="BI433" s="123"/>
      <c r="BJ433" s="123"/>
      <c r="BK433" s="123"/>
      <c r="BL433" s="123"/>
      <c r="BM433" s="123"/>
      <c r="BN433" s="123"/>
      <c r="BO433" s="123"/>
      <c r="BP433" s="124" t="s">
        <v>218</v>
      </c>
      <c r="BQ433" s="123"/>
      <c r="BR433" s="98"/>
    </row>
    <row r="434" spans="1:70" ht="15.75" thickTop="1">
      <c r="A434" s="4" t="s">
        <v>3</v>
      </c>
      <c r="B434" s="100">
        <v>761.08799999999997</v>
      </c>
      <c r="C434" s="5">
        <v>737.76099999999997</v>
      </c>
      <c r="D434" s="5">
        <v>426.012</v>
      </c>
      <c r="E434" s="110">
        <f>SUM(B434:D434)</f>
        <v>1924.8609999999999</v>
      </c>
      <c r="F434" s="123">
        <f>D434/(B434+C434)</f>
        <v>0.2842260961577851</v>
      </c>
      <c r="G434" s="123">
        <f>B434/C434</f>
        <v>1.0316186407251129</v>
      </c>
      <c r="H434" s="125">
        <f>ABS((E437-E429)/E429)</f>
        <v>3.6854946985805527E-2</v>
      </c>
      <c r="J434" s="123">
        <f>J433</f>
        <v>0.15</v>
      </c>
      <c r="K434" s="123" t="s">
        <v>213</v>
      </c>
      <c r="L434" s="98"/>
      <c r="BF434" s="123"/>
      <c r="BG434" s="1"/>
      <c r="BH434" s="2" t="s">
        <v>8</v>
      </c>
      <c r="BI434" s="2" t="s">
        <v>9</v>
      </c>
      <c r="BJ434" s="2" t="s">
        <v>10</v>
      </c>
      <c r="BK434" s="3" t="s">
        <v>11</v>
      </c>
      <c r="BL434" s="103" t="s">
        <v>16</v>
      </c>
      <c r="BM434" s="103" t="s">
        <v>172</v>
      </c>
      <c r="BN434" s="124" t="s">
        <v>171</v>
      </c>
      <c r="BO434" s="123"/>
      <c r="BP434" s="123">
        <v>0.04</v>
      </c>
      <c r="BQ434" s="103" t="s">
        <v>212</v>
      </c>
      <c r="BR434" s="98"/>
    </row>
    <row r="435" spans="1:70">
      <c r="A435" s="4" t="s">
        <v>4</v>
      </c>
      <c r="B435" s="5">
        <v>804.34400000000005</v>
      </c>
      <c r="C435" s="5">
        <v>395.35</v>
      </c>
      <c r="D435" s="5">
        <v>340.98399999999998</v>
      </c>
      <c r="E435" s="112">
        <f t="shared" ref="E435:E436" si="864">SUM(B435:D435)</f>
        <v>1540.6779999999999</v>
      </c>
      <c r="F435" s="123">
        <f t="shared" ref="F435:F437" si="865">D435/(B435+C435)</f>
        <v>0.28422581091511667</v>
      </c>
      <c r="G435" s="123">
        <f t="shared" ref="G435:G437" si="866">B435/C435</f>
        <v>2.0345111926141395</v>
      </c>
      <c r="J435" s="123">
        <f>J433*0.5</f>
        <v>7.4999999999999997E-2</v>
      </c>
      <c r="K435" s="123" t="s">
        <v>214</v>
      </c>
      <c r="L435" s="98"/>
      <c r="BF435" s="123"/>
      <c r="BG435" s="4" t="s">
        <v>3</v>
      </c>
      <c r="BH435" s="100">
        <v>36633</v>
      </c>
      <c r="BI435" s="5">
        <v>16189.5</v>
      </c>
      <c r="BJ435" s="5">
        <v>8081.44</v>
      </c>
      <c r="BK435" s="110">
        <f>SUM(BH435:BJ435)</f>
        <v>60903.94</v>
      </c>
      <c r="BL435" s="123">
        <f>BJ435/(BH435+BI435)</f>
        <v>0.15299238014103839</v>
      </c>
      <c r="BM435" s="123">
        <f>BH435/BI435</f>
        <v>2.2627629018808486</v>
      </c>
      <c r="BN435" s="125">
        <f>ABS((BK438-BK430)/BK430)</f>
        <v>1.0899943009142113E-2</v>
      </c>
      <c r="BO435" s="123"/>
      <c r="BP435" s="123">
        <f>BP434</f>
        <v>0.04</v>
      </c>
      <c r="BQ435" s="123" t="s">
        <v>213</v>
      </c>
      <c r="BR435" s="98"/>
    </row>
    <row r="436" spans="1:70">
      <c r="A436" s="4" t="s">
        <v>5</v>
      </c>
      <c r="B436" s="5">
        <v>359.42899999999997</v>
      </c>
      <c r="C436" s="5">
        <v>407.56700000000001</v>
      </c>
      <c r="D436" s="5">
        <v>218</v>
      </c>
      <c r="E436" s="108">
        <f t="shared" si="864"/>
        <v>984.99599999999998</v>
      </c>
      <c r="F436" s="123">
        <f t="shared" si="865"/>
        <v>0.28422573259834472</v>
      </c>
      <c r="G436" s="123">
        <f t="shared" si="866"/>
        <v>0.88188935806873459</v>
      </c>
      <c r="J436" s="103">
        <f>J435</f>
        <v>7.4999999999999997E-2</v>
      </c>
      <c r="K436" s="103" t="s">
        <v>215</v>
      </c>
      <c r="L436" s="98"/>
      <c r="BF436" s="123"/>
      <c r="BG436" s="4" t="s">
        <v>4</v>
      </c>
      <c r="BH436" s="5">
        <v>16502</v>
      </c>
      <c r="BI436" s="5">
        <v>10345.9</v>
      </c>
      <c r="BJ436" s="5">
        <v>4107.54</v>
      </c>
      <c r="BK436" s="112">
        <f t="shared" ref="BK436:BK437" si="867">SUM(BH436:BJ436)</f>
        <v>30955.440000000002</v>
      </c>
      <c r="BL436" s="123">
        <f t="shared" ref="BL436:BL438" si="868">BJ436/(BH436+BI436)</f>
        <v>0.15299297151732535</v>
      </c>
      <c r="BM436" s="123">
        <f t="shared" ref="BM436:BM438" si="869">BH436/BI436</f>
        <v>1.5950279820991891</v>
      </c>
      <c r="BN436" s="123"/>
      <c r="BO436" s="123"/>
      <c r="BP436" s="123">
        <f t="shared" ref="BP436" si="870">BP435</f>
        <v>0.04</v>
      </c>
      <c r="BQ436" s="123" t="s">
        <v>214</v>
      </c>
      <c r="BR436" s="98"/>
    </row>
    <row r="437" spans="1:70" ht="15.75" thickBot="1">
      <c r="A437" s="7"/>
      <c r="B437" s="111">
        <f>SUM(B434:B436)</f>
        <v>1924.8609999999999</v>
      </c>
      <c r="C437" s="113">
        <f t="shared" ref="C437:D437" si="871">SUM(C434:C436)</f>
        <v>1540.6779999999999</v>
      </c>
      <c r="D437" s="109">
        <f t="shared" si="871"/>
        <v>984.99599999999998</v>
      </c>
      <c r="E437" s="102">
        <f>SUM(E434:E436)</f>
        <v>4450.5349999999999</v>
      </c>
      <c r="F437" s="123">
        <f t="shared" si="865"/>
        <v>0.2842259169497155</v>
      </c>
      <c r="G437" s="123">
        <f t="shared" si="866"/>
        <v>1.249359697483835</v>
      </c>
      <c r="J437" s="103">
        <f>J433*0.3</f>
        <v>4.4999999999999998E-2</v>
      </c>
      <c r="K437" s="103" t="s">
        <v>216</v>
      </c>
      <c r="L437" s="98"/>
      <c r="BF437" s="123"/>
      <c r="BG437" s="4" t="s">
        <v>5</v>
      </c>
      <c r="BH437" s="5">
        <v>7768.88</v>
      </c>
      <c r="BI437" s="5">
        <v>4420.1099999999997</v>
      </c>
      <c r="BJ437" s="5">
        <v>1864.82</v>
      </c>
      <c r="BK437" s="108">
        <f t="shared" si="867"/>
        <v>14053.81</v>
      </c>
      <c r="BL437" s="123">
        <f t="shared" si="868"/>
        <v>0.15299216752167324</v>
      </c>
      <c r="BM437" s="123">
        <f t="shared" si="869"/>
        <v>1.7576214166615765</v>
      </c>
      <c r="BN437" s="123"/>
      <c r="BO437" s="123" t="s">
        <v>397</v>
      </c>
      <c r="BP437" s="123"/>
      <c r="BQ437" s="103" t="s">
        <v>215</v>
      </c>
      <c r="BR437" s="98"/>
    </row>
    <row r="438" spans="1:70" ht="16.5" thickTop="1" thickBot="1">
      <c r="A438" s="130"/>
      <c r="F438" s="124" t="s">
        <v>420</v>
      </c>
      <c r="G438" s="103">
        <f>AVERAGE(G434:G436)</f>
        <v>1.3160063971359957</v>
      </c>
      <c r="J438" s="103">
        <f>J437</f>
        <v>4.4999999999999998E-2</v>
      </c>
      <c r="K438" s="103" t="s">
        <v>217</v>
      </c>
      <c r="L438" s="98"/>
      <c r="BF438" s="123"/>
      <c r="BG438" s="7"/>
      <c r="BH438" s="111">
        <f>SUM(BH435:BH437)</f>
        <v>60903.88</v>
      </c>
      <c r="BI438" s="113">
        <f t="shared" ref="BI438:BJ438" si="872">SUM(BI435:BI437)</f>
        <v>30955.510000000002</v>
      </c>
      <c r="BJ438" s="109">
        <f t="shared" si="872"/>
        <v>14053.8</v>
      </c>
      <c r="BK438" s="102">
        <f>SUM(BK435:BK437)</f>
        <v>105913.19</v>
      </c>
      <c r="BL438" s="123">
        <f t="shared" si="868"/>
        <v>0.15299252477073927</v>
      </c>
      <c r="BM438" s="123">
        <f t="shared" si="869"/>
        <v>1.9674649198155674</v>
      </c>
      <c r="BN438" s="123"/>
      <c r="BO438" s="123" t="s">
        <v>398</v>
      </c>
      <c r="BP438" s="123"/>
      <c r="BQ438" s="103" t="s">
        <v>216</v>
      </c>
      <c r="BR438" s="98"/>
    </row>
    <row r="439" spans="1:70" ht="15.75" thickTop="1">
      <c r="A439" s="130" t="s">
        <v>12</v>
      </c>
      <c r="B439" s="123">
        <f>B434/B426</f>
        <v>1.0131292222702917</v>
      </c>
      <c r="C439" s="123" t="s">
        <v>163</v>
      </c>
      <c r="D439" s="123">
        <f>C434/C426</f>
        <v>1.0926959677120747</v>
      </c>
      <c r="E439" s="124" t="s">
        <v>255</v>
      </c>
      <c r="J439" s="139" t="s">
        <v>248</v>
      </c>
      <c r="L439" s="98"/>
      <c r="BF439" s="123"/>
      <c r="BG439" s="130"/>
      <c r="BH439" s="123"/>
      <c r="BI439" s="123"/>
      <c r="BJ439" s="123"/>
      <c r="BK439" s="123"/>
      <c r="BL439" s="124" t="s">
        <v>420</v>
      </c>
      <c r="BM439" s="103">
        <f>AVERAGE(BM435:BM437)</f>
        <v>1.8718041002138712</v>
      </c>
      <c r="BN439" s="123"/>
      <c r="BO439" s="123" t="s">
        <v>399</v>
      </c>
      <c r="BP439" s="123"/>
      <c r="BQ439" s="103" t="s">
        <v>217</v>
      </c>
      <c r="BR439" s="98"/>
    </row>
    <row r="440" spans="1:70">
      <c r="A440" s="130" t="s">
        <v>13</v>
      </c>
      <c r="B440" s="123">
        <f t="shared" ref="B440:B441" si="873">B435/B427</f>
        <v>1.0143384272372109</v>
      </c>
      <c r="C440" s="123" t="s">
        <v>164</v>
      </c>
      <c r="D440" s="123">
        <f t="shared" ref="D440:D441" si="874">C435/C427</f>
        <v>1.0905875959626052</v>
      </c>
      <c r="E440" s="123">
        <f>VAR(G426:G428)</f>
        <v>0.45021283206367402</v>
      </c>
      <c r="F440" s="124">
        <f>STDEV(G426:G428)/G430</f>
        <v>0.47315735543571036</v>
      </c>
      <c r="G440" s="124" t="s">
        <v>449</v>
      </c>
      <c r="L440" s="98"/>
      <c r="BF440" s="123"/>
      <c r="BG440" s="130" t="s">
        <v>12</v>
      </c>
      <c r="BH440" s="123">
        <f>BH435/BH427</f>
        <v>1.0232567233885654</v>
      </c>
      <c r="BI440" s="123" t="s">
        <v>163</v>
      </c>
      <c r="BJ440" s="123">
        <f>BI435/BI427</f>
        <v>0.99112915074933883</v>
      </c>
      <c r="BK440" s="124" t="s">
        <v>255</v>
      </c>
      <c r="BL440" s="123"/>
      <c r="BM440" s="123"/>
      <c r="BN440" s="123"/>
      <c r="BO440" s="123"/>
      <c r="BP440" s="124" t="s">
        <v>396</v>
      </c>
      <c r="BQ440" s="123"/>
      <c r="BR440" s="98"/>
    </row>
    <row r="441" spans="1:70">
      <c r="A441" s="130" t="s">
        <v>14</v>
      </c>
      <c r="B441" s="123">
        <f t="shared" si="873"/>
        <v>1.0146912273272637</v>
      </c>
      <c r="C441" s="123" t="s">
        <v>165</v>
      </c>
      <c r="D441" s="123">
        <f t="shared" si="874"/>
        <v>1.0978679273236629</v>
      </c>
      <c r="G441" s="124" t="s">
        <v>438</v>
      </c>
      <c r="L441" s="98"/>
      <c r="BF441" s="123"/>
      <c r="BG441" s="130" t="s">
        <v>13</v>
      </c>
      <c r="BH441" s="123">
        <f t="shared" ref="BH441:BH442" si="875">BH436/BH428</f>
        <v>1.0251599676958441</v>
      </c>
      <c r="BI441" s="123" t="s">
        <v>164</v>
      </c>
      <c r="BJ441" s="123">
        <f t="shared" ref="BJ441:BJ442" si="876">BI436/BI428</f>
        <v>0.99112899362935281</v>
      </c>
      <c r="BK441" s="123">
        <f>VAR(BM427:BM429)</f>
        <v>0.11464418826506595</v>
      </c>
      <c r="BL441" s="124">
        <f>STDEV(BM427:BM429)/BM431</f>
        <v>0.18689031606786219</v>
      </c>
      <c r="BM441" s="124" t="s">
        <v>449</v>
      </c>
      <c r="BN441" s="123"/>
      <c r="BO441" s="123"/>
      <c r="BP441" s="123"/>
      <c r="BQ441" s="123"/>
      <c r="BR441" s="98"/>
    </row>
    <row r="442" spans="1:70">
      <c r="A442" s="130" t="s">
        <v>15</v>
      </c>
      <c r="B442" s="123">
        <f>E434/E426</f>
        <v>1.0139257615790782</v>
      </c>
      <c r="C442" s="123" t="s">
        <v>67</v>
      </c>
      <c r="D442" s="123">
        <f>E435/E427</f>
        <v>1.0935162439909689</v>
      </c>
      <c r="E442" s="124" t="s">
        <v>256</v>
      </c>
      <c r="L442" s="98"/>
      <c r="BF442" s="123"/>
      <c r="BG442" s="130" t="s">
        <v>14</v>
      </c>
      <c r="BH442" s="123">
        <f t="shared" si="875"/>
        <v>1.0239172523957452</v>
      </c>
      <c r="BI442" s="123" t="s">
        <v>165</v>
      </c>
      <c r="BJ442" s="123">
        <f t="shared" si="876"/>
        <v>0.9911293884973551</v>
      </c>
      <c r="BK442" s="123"/>
      <c r="BL442" s="123"/>
      <c r="BM442" s="124" t="s">
        <v>438</v>
      </c>
      <c r="BN442" s="123"/>
      <c r="BO442" s="123"/>
      <c r="BP442" s="123"/>
      <c r="BQ442" s="123"/>
      <c r="BR442" s="98"/>
    </row>
    <row r="443" spans="1:70">
      <c r="A443" s="130" t="s">
        <v>170</v>
      </c>
      <c r="B443" s="123">
        <f>VAR(B439:B441)</f>
        <v>6.7108405892825674E-7</v>
      </c>
      <c r="C443" s="123" t="s">
        <v>170</v>
      </c>
      <c r="D443" s="123">
        <f>VAR(D439:D441)</f>
        <v>1.4032937064110047E-5</v>
      </c>
      <c r="E443" s="123">
        <f>VAR(G434:G436)</f>
        <v>0.392791570365016</v>
      </c>
      <c r="F443" s="124">
        <f>STDEV(G434:G436)/G438</f>
        <v>0.47623693999969569</v>
      </c>
      <c r="G443" s="124" t="s">
        <v>449</v>
      </c>
      <c r="L443" s="98"/>
      <c r="BF443" s="123"/>
      <c r="BG443" s="130" t="s">
        <v>15</v>
      </c>
      <c r="BH443" s="123">
        <f>BK435/BK427</f>
        <v>1.0238568428046011</v>
      </c>
      <c r="BI443" s="123" t="s">
        <v>67</v>
      </c>
      <c r="BJ443" s="123">
        <f>BK436/BK428</f>
        <v>0.99112720827239265</v>
      </c>
      <c r="BK443" s="124" t="s">
        <v>256</v>
      </c>
      <c r="BL443" s="123"/>
      <c r="BM443" s="123"/>
      <c r="BN443" s="123"/>
      <c r="BO443" s="123"/>
      <c r="BP443" s="123"/>
      <c r="BQ443" s="123"/>
      <c r="BR443" s="98"/>
    </row>
    <row r="444" spans="1:70">
      <c r="A444" s="130"/>
      <c r="G444" s="124" t="s">
        <v>438</v>
      </c>
      <c r="L444" s="98"/>
      <c r="BF444" s="123"/>
      <c r="BG444" s="130" t="s">
        <v>170</v>
      </c>
      <c r="BH444" s="123">
        <f>VAR(BH440:BH442)</f>
        <v>9.3382979660236371E-7</v>
      </c>
      <c r="BI444" s="123" t="s">
        <v>170</v>
      </c>
      <c r="BJ444" s="123">
        <f>VAR(BJ440:BJ442)</f>
        <v>3.9521924747804348E-14</v>
      </c>
      <c r="BK444" s="123">
        <f>VAR(BM435:BM437)</f>
        <v>0.1212457446913584</v>
      </c>
      <c r="BL444" s="124">
        <f>STDEV(BM435:BM437)/BM439</f>
        <v>0.18602566185697142</v>
      </c>
      <c r="BM444" s="124" t="s">
        <v>449</v>
      </c>
      <c r="BN444" s="123"/>
      <c r="BO444" s="123"/>
      <c r="BP444" s="123"/>
      <c r="BQ444" s="123"/>
      <c r="BR444" s="98"/>
    </row>
    <row r="445" spans="1:70">
      <c r="A445" s="130"/>
      <c r="D445" s="123" t="s">
        <v>444</v>
      </c>
      <c r="L445" s="98"/>
      <c r="BF445" s="123"/>
      <c r="BG445" s="130"/>
      <c r="BH445" s="123"/>
      <c r="BI445" s="123"/>
      <c r="BJ445" s="123"/>
      <c r="BK445" s="123"/>
      <c r="BL445" s="123"/>
      <c r="BM445" s="124" t="s">
        <v>438</v>
      </c>
      <c r="BN445" s="123"/>
      <c r="BO445" s="123"/>
      <c r="BP445" s="123"/>
      <c r="BQ445" s="123"/>
      <c r="BR445" s="98"/>
    </row>
    <row r="446" spans="1:70">
      <c r="A446" s="130"/>
      <c r="B446" s="123">
        <f>B439</f>
        <v>1.0131292222702917</v>
      </c>
      <c r="D446" s="123">
        <f>ABS(C434-B435)/C434</f>
        <v>9.0250094542812756E-2</v>
      </c>
      <c r="E446" s="123" t="s">
        <v>446</v>
      </c>
      <c r="L446" s="98"/>
      <c r="BF446" s="123"/>
      <c r="BG446" s="130"/>
      <c r="BH446" s="123"/>
      <c r="BI446" s="123"/>
      <c r="BJ446" s="123" t="s">
        <v>444</v>
      </c>
      <c r="BK446" s="123"/>
      <c r="BL446" s="123"/>
      <c r="BM446" s="123"/>
      <c r="BN446" s="123"/>
      <c r="BO446" s="123"/>
      <c r="BP446" s="123"/>
      <c r="BQ446" s="123"/>
      <c r="BR446" s="98"/>
    </row>
    <row r="447" spans="1:70">
      <c r="A447" s="130"/>
      <c r="B447" s="123">
        <f t="shared" ref="B447:B448" si="877">B440</f>
        <v>1.0143384272372109</v>
      </c>
      <c r="D447" s="123">
        <f>ABS((C426-B427)/C426)</f>
        <v>0.17447180360647255</v>
      </c>
      <c r="E447" s="123" t="s">
        <v>445</v>
      </c>
      <c r="L447" s="98"/>
      <c r="BF447" s="123"/>
      <c r="BG447" s="130"/>
      <c r="BH447" s="123">
        <f>BH440</f>
        <v>1.0232567233885654</v>
      </c>
      <c r="BI447" s="123"/>
      <c r="BJ447" s="123">
        <f>ABS(BI435-BH436)/BI435</f>
        <v>1.9302634423546124E-2</v>
      </c>
      <c r="BK447" s="123" t="s">
        <v>446</v>
      </c>
      <c r="BL447" s="123"/>
      <c r="BM447" s="123"/>
      <c r="BN447" s="123"/>
      <c r="BO447" s="123"/>
      <c r="BP447" s="123"/>
      <c r="BQ447" s="123"/>
      <c r="BR447" s="98"/>
    </row>
    <row r="448" spans="1:70">
      <c r="A448" s="130"/>
      <c r="B448" s="123">
        <f t="shared" si="877"/>
        <v>1.0146912273272637</v>
      </c>
      <c r="L448" s="98"/>
      <c r="BF448" s="123"/>
      <c r="BG448" s="130"/>
      <c r="BH448" s="123">
        <f t="shared" ref="BH448:BH449" si="878">BH441</f>
        <v>1.0251599676958441</v>
      </c>
      <c r="BI448" s="123"/>
      <c r="BJ448" s="123">
        <f>ABS((BI427-BH428)/BI427)</f>
        <v>1.453374473503769E-2</v>
      </c>
      <c r="BK448" s="123" t="s">
        <v>445</v>
      </c>
      <c r="BL448" s="123"/>
      <c r="BM448" s="123"/>
      <c r="BN448" s="123"/>
      <c r="BO448" s="123"/>
      <c r="BP448" s="123"/>
      <c r="BQ448" s="123"/>
      <c r="BR448" s="98"/>
    </row>
    <row r="449" spans="1:70">
      <c r="A449" s="130"/>
      <c r="B449" s="123">
        <f>D439</f>
        <v>1.0926959677120747</v>
      </c>
      <c r="L449" s="98"/>
      <c r="BF449" s="123"/>
      <c r="BG449" s="130"/>
      <c r="BH449" s="123">
        <f t="shared" si="878"/>
        <v>1.0239172523957452</v>
      </c>
      <c r="BI449" s="123"/>
      <c r="BJ449" s="123"/>
      <c r="BK449" s="123"/>
      <c r="BL449" s="123"/>
      <c r="BM449" s="123"/>
      <c r="BN449" s="123"/>
      <c r="BO449" s="123"/>
      <c r="BP449" s="123"/>
      <c r="BQ449" s="123"/>
      <c r="BR449" s="98"/>
    </row>
    <row r="450" spans="1:70">
      <c r="A450" s="130"/>
      <c r="B450" s="123">
        <f t="shared" ref="B450:B451" si="879">D440</f>
        <v>1.0905875959626052</v>
      </c>
      <c r="L450" s="98"/>
      <c r="BF450" s="123"/>
      <c r="BG450" s="130"/>
      <c r="BH450" s="123">
        <f>BJ440</f>
        <v>0.99112915074933883</v>
      </c>
      <c r="BI450" s="123"/>
      <c r="BJ450" s="123"/>
      <c r="BK450" s="123"/>
      <c r="BL450" s="123"/>
      <c r="BM450" s="123"/>
      <c r="BN450" s="123"/>
      <c r="BO450" s="123"/>
      <c r="BP450" s="123"/>
      <c r="BQ450" s="123"/>
      <c r="BR450" s="98"/>
    </row>
    <row r="451" spans="1:70">
      <c r="A451" s="130"/>
      <c r="B451" s="123">
        <f t="shared" si="879"/>
        <v>1.0978679273236629</v>
      </c>
      <c r="L451" s="98"/>
      <c r="BF451" s="123"/>
      <c r="BG451" s="130"/>
      <c r="BH451" s="123">
        <f t="shared" ref="BH451:BH452" si="880">BJ441</f>
        <v>0.99112899362935281</v>
      </c>
      <c r="BI451" s="123"/>
      <c r="BJ451" s="123"/>
      <c r="BK451" s="123"/>
      <c r="BL451" s="123"/>
      <c r="BM451" s="123"/>
      <c r="BN451" s="123"/>
      <c r="BO451" s="123"/>
      <c r="BP451" s="123"/>
      <c r="BQ451" s="123"/>
      <c r="BR451" s="98"/>
    </row>
    <row r="452" spans="1:70" ht="15.75" thickBot="1">
      <c r="A452" s="131" t="s">
        <v>170</v>
      </c>
      <c r="B452" s="126">
        <f>VAR(B446:B451)</f>
        <v>1.9097972626068937E-3</v>
      </c>
      <c r="C452" s="126"/>
      <c r="D452" s="126"/>
      <c r="E452" s="126"/>
      <c r="F452" s="126"/>
      <c r="G452" s="126"/>
      <c r="H452" s="126"/>
      <c r="I452" s="126"/>
      <c r="J452" s="126"/>
      <c r="K452" s="126"/>
      <c r="L452" s="127"/>
      <c r="BF452" s="123"/>
      <c r="BG452" s="130"/>
      <c r="BH452" s="123">
        <f t="shared" si="880"/>
        <v>0.9911293884973551</v>
      </c>
      <c r="BI452" s="123"/>
      <c r="BJ452" s="123"/>
      <c r="BK452" s="123"/>
      <c r="BL452" s="123"/>
      <c r="BM452" s="123"/>
      <c r="BN452" s="123"/>
      <c r="BO452" s="123"/>
      <c r="BP452" s="123"/>
      <c r="BQ452" s="123"/>
      <c r="BR452" s="98"/>
    </row>
    <row r="453" spans="1:70" ht="16.5" thickTop="1" thickBot="1">
      <c r="A453" s="128"/>
      <c r="B453" s="121"/>
      <c r="C453" s="121"/>
      <c r="D453" s="121"/>
      <c r="E453" s="121"/>
      <c r="F453" s="133" t="s">
        <v>239</v>
      </c>
      <c r="G453" s="121"/>
      <c r="H453" s="121"/>
      <c r="I453" s="129" t="s">
        <v>227</v>
      </c>
      <c r="J453" s="121"/>
      <c r="K453" s="121"/>
      <c r="L453" s="122"/>
      <c r="BF453" s="123"/>
      <c r="BG453" s="131" t="s">
        <v>170</v>
      </c>
      <c r="BH453" s="126">
        <f>VAR(BH447:BH452)</f>
        <v>3.2671993764900705E-4</v>
      </c>
      <c r="BI453" s="126"/>
      <c r="BJ453" s="126"/>
      <c r="BK453" s="126"/>
      <c r="BL453" s="126"/>
      <c r="BM453" s="126"/>
      <c r="BN453" s="126"/>
      <c r="BO453" s="126"/>
      <c r="BP453" s="126"/>
      <c r="BQ453" s="126"/>
      <c r="BR453" s="127"/>
    </row>
    <row r="454" spans="1:70" ht="16.5" thickTop="1" thickBot="1">
      <c r="A454" s="130" t="s">
        <v>167</v>
      </c>
      <c r="H454" s="123" t="s">
        <v>168</v>
      </c>
      <c r="L454" s="98"/>
      <c r="BG454" s="128"/>
      <c r="BH454" s="121"/>
      <c r="BI454" s="121"/>
      <c r="BJ454" s="121"/>
      <c r="BK454" s="121"/>
      <c r="BL454" s="133" t="s">
        <v>239</v>
      </c>
      <c r="BM454" s="121"/>
      <c r="BN454" s="121"/>
      <c r="BO454" s="129" t="s">
        <v>405</v>
      </c>
      <c r="BP454" s="121"/>
      <c r="BQ454" s="121"/>
      <c r="BR454" s="122"/>
    </row>
    <row r="455" spans="1:70" ht="16.5" thickTop="1" thickBot="1">
      <c r="A455" s="1"/>
      <c r="B455" s="2" t="s">
        <v>0</v>
      </c>
      <c r="C455" s="2" t="s">
        <v>1</v>
      </c>
      <c r="D455" s="2" t="s">
        <v>2</v>
      </c>
      <c r="E455" s="3" t="s">
        <v>6</v>
      </c>
      <c r="F455" s="103" t="s">
        <v>70</v>
      </c>
      <c r="G455" s="103" t="s">
        <v>172</v>
      </c>
      <c r="H455" s="123" t="s">
        <v>3</v>
      </c>
      <c r="I455" s="123">
        <v>6</v>
      </c>
      <c r="K455" s="123" t="s">
        <v>19</v>
      </c>
      <c r="L455" s="98">
        <v>0.41782599999999998</v>
      </c>
      <c r="BG455" s="130" t="s">
        <v>167</v>
      </c>
      <c r="BH455" s="123"/>
      <c r="BI455" s="123"/>
      <c r="BJ455" s="123"/>
      <c r="BK455" s="123"/>
      <c r="BL455" s="123"/>
      <c r="BM455" s="123"/>
      <c r="BN455" s="123" t="s">
        <v>168</v>
      </c>
      <c r="BO455" s="123"/>
      <c r="BP455" s="123"/>
      <c r="BQ455" s="123"/>
      <c r="BR455" s="98"/>
    </row>
    <row r="456" spans="1:70" ht="15.75" thickTop="1">
      <c r="A456" s="4" t="s">
        <v>3</v>
      </c>
      <c r="B456" s="100">
        <v>711.47699999999998</v>
      </c>
      <c r="C456" s="5">
        <v>588.84299999999996</v>
      </c>
      <c r="D456" s="5">
        <v>641.33699999999999</v>
      </c>
      <c r="E456" s="104">
        <f>SUM(B456:D456)</f>
        <v>1941.6569999999999</v>
      </c>
      <c r="F456" s="123">
        <f>D456/C456</f>
        <v>1.0891477015095705</v>
      </c>
      <c r="G456" s="123">
        <f>B456/C456</f>
        <v>1.2082626438626256</v>
      </c>
      <c r="H456" s="123" t="s">
        <v>4</v>
      </c>
      <c r="I456" s="123">
        <v>12</v>
      </c>
      <c r="L456" s="98"/>
      <c r="BG456" s="1"/>
      <c r="BH456" s="2" t="s">
        <v>0</v>
      </c>
      <c r="BI456" s="2" t="s">
        <v>1</v>
      </c>
      <c r="BJ456" s="2" t="s">
        <v>2</v>
      </c>
      <c r="BK456" s="3" t="s">
        <v>6</v>
      </c>
      <c r="BL456" s="103" t="s">
        <v>70</v>
      </c>
      <c r="BM456" s="103" t="s">
        <v>172</v>
      </c>
      <c r="BN456" s="123" t="s">
        <v>3</v>
      </c>
      <c r="BO456" s="123">
        <v>30</v>
      </c>
      <c r="BP456" s="123"/>
      <c r="BQ456" s="123" t="s">
        <v>19</v>
      </c>
      <c r="BR456" s="98">
        <v>0.45117499999999999</v>
      </c>
    </row>
    <row r="457" spans="1:70">
      <c r="A457" s="4" t="s">
        <v>4</v>
      </c>
      <c r="B457" s="5">
        <v>721.79600000000005</v>
      </c>
      <c r="C457" s="5">
        <v>291.798</v>
      </c>
      <c r="D457" s="5">
        <v>317.81200000000001</v>
      </c>
      <c r="E457" s="106">
        <f t="shared" ref="E457:E459" si="881">SUM(B457:D457)</f>
        <v>1331.4059999999999</v>
      </c>
      <c r="F457" s="123">
        <f t="shared" ref="F457:F459" si="882">D457/C457</f>
        <v>1.0891507138499921</v>
      </c>
      <c r="G457" s="123">
        <f t="shared" ref="G457:G459" si="883">B457/C457</f>
        <v>2.4736153092207624</v>
      </c>
      <c r="H457" s="123" t="s">
        <v>5</v>
      </c>
      <c r="I457" s="123">
        <v>4</v>
      </c>
      <c r="L457" s="98"/>
      <c r="BG457" s="4" t="s">
        <v>3</v>
      </c>
      <c r="BH457" s="100">
        <v>6569.98</v>
      </c>
      <c r="BI457" s="5">
        <v>23792.7</v>
      </c>
      <c r="BJ457" s="5">
        <v>14365.8</v>
      </c>
      <c r="BK457" s="104">
        <f>SUM(BH457:BJ457)</f>
        <v>44728.479999999996</v>
      </c>
      <c r="BL457" s="123">
        <f>BJ457/BI457</f>
        <v>0.6037902381822996</v>
      </c>
      <c r="BM457" s="123">
        <f>BH457/BI457</f>
        <v>0.27613427647976058</v>
      </c>
      <c r="BN457" s="123" t="s">
        <v>4</v>
      </c>
      <c r="BO457" s="123">
        <v>60</v>
      </c>
      <c r="BP457" s="123"/>
      <c r="BQ457" s="123"/>
      <c r="BR457" s="98"/>
    </row>
    <row r="458" spans="1:70">
      <c r="A458" s="4" t="s">
        <v>5</v>
      </c>
      <c r="B458" s="5">
        <v>508.38400000000001</v>
      </c>
      <c r="C458" s="5">
        <v>450.76499999999999</v>
      </c>
      <c r="D458" s="5">
        <v>490.95100000000002</v>
      </c>
      <c r="E458" s="108">
        <f t="shared" si="881"/>
        <v>1450.1</v>
      </c>
      <c r="F458" s="123">
        <f t="shared" si="882"/>
        <v>1.0891506660898695</v>
      </c>
      <c r="G458" s="123">
        <f t="shared" si="883"/>
        <v>1.1278249198584629</v>
      </c>
      <c r="L458" s="98"/>
      <c r="BG458" s="4" t="s">
        <v>4</v>
      </c>
      <c r="BH458" s="5">
        <v>25518.2</v>
      </c>
      <c r="BI458" s="5">
        <v>70887.5</v>
      </c>
      <c r="BJ458" s="5">
        <v>42801.1</v>
      </c>
      <c r="BK458" s="106">
        <f t="shared" ref="BK458:BK460" si="884">SUM(BH458:BJ458)</f>
        <v>139206.79999999999</v>
      </c>
      <c r="BL458" s="123">
        <f t="shared" ref="BL458:BL460" si="885">BJ458/BI458</f>
        <v>0.60378910245106676</v>
      </c>
      <c r="BM458" s="123">
        <f t="shared" ref="BM458:BM460" si="886">BH458/BI458</f>
        <v>0.35998166108270147</v>
      </c>
      <c r="BN458" s="123" t="s">
        <v>5</v>
      </c>
      <c r="BO458" s="123">
        <v>25</v>
      </c>
      <c r="BP458" s="123" t="s">
        <v>404</v>
      </c>
      <c r="BQ458" s="123"/>
      <c r="BR458" s="98"/>
    </row>
    <row r="459" spans="1:70" ht="15.75" thickBot="1">
      <c r="A459" s="7"/>
      <c r="B459" s="105">
        <f>SUM(B456:B458)</f>
        <v>1941.6570000000002</v>
      </c>
      <c r="C459" s="107">
        <f>SUM(C456:C458)</f>
        <v>1331.4059999999999</v>
      </c>
      <c r="D459" s="109">
        <f>SUM(D456:D458)</f>
        <v>1450.1</v>
      </c>
      <c r="E459" s="101">
        <f t="shared" si="881"/>
        <v>4723.1630000000005</v>
      </c>
      <c r="F459" s="123">
        <f t="shared" si="882"/>
        <v>1.0891493654076967</v>
      </c>
      <c r="G459" s="123">
        <f t="shared" si="883"/>
        <v>1.4583507960757276</v>
      </c>
      <c r="L459" s="98"/>
      <c r="BG459" s="4" t="s">
        <v>5</v>
      </c>
      <c r="BH459" s="5">
        <v>12640.3</v>
      </c>
      <c r="BI459" s="5">
        <v>44526.6</v>
      </c>
      <c r="BJ459" s="5">
        <v>26884.7</v>
      </c>
      <c r="BK459" s="108">
        <f t="shared" si="884"/>
        <v>84051.599999999991</v>
      </c>
      <c r="BL459" s="123">
        <f t="shared" si="885"/>
        <v>0.60378964484151054</v>
      </c>
      <c r="BM459" s="123">
        <f t="shared" si="886"/>
        <v>0.28388199413384357</v>
      </c>
      <c r="BN459" s="123"/>
      <c r="BO459" s="123"/>
      <c r="BP459" s="123" t="s">
        <v>403</v>
      </c>
      <c r="BQ459" s="123">
        <v>1</v>
      </c>
      <c r="BR459" s="98"/>
    </row>
    <row r="460" spans="1:70" ht="16.5" thickTop="1" thickBot="1">
      <c r="A460" s="130"/>
      <c r="F460" s="124" t="s">
        <v>420</v>
      </c>
      <c r="G460" s="103">
        <f>AVERAGE(G456:G458)</f>
        <v>1.603234290980617</v>
      </c>
      <c r="L460" s="98"/>
      <c r="BG460" s="7"/>
      <c r="BH460" s="105">
        <f>SUM(BH457:BH459)</f>
        <v>44728.479999999996</v>
      </c>
      <c r="BI460" s="107">
        <f>SUM(BI457:BI459)</f>
        <v>139206.79999999999</v>
      </c>
      <c r="BJ460" s="109">
        <f>SUM(BJ457:BJ459)</f>
        <v>84051.599999999991</v>
      </c>
      <c r="BK460" s="101">
        <f t="shared" si="884"/>
        <v>267986.87999999995</v>
      </c>
      <c r="BL460" s="123">
        <f t="shared" si="885"/>
        <v>0.6037894700546238</v>
      </c>
      <c r="BM460" s="123">
        <f t="shared" si="886"/>
        <v>0.32130959119813113</v>
      </c>
      <c r="BN460" s="123"/>
      <c r="BO460" s="123"/>
      <c r="BP460" s="123" t="s">
        <v>402</v>
      </c>
      <c r="BQ460" s="123"/>
      <c r="BR460" s="98"/>
    </row>
    <row r="461" spans="1:70" ht="15.75" thickTop="1">
      <c r="A461" s="130"/>
      <c r="L461" s="98"/>
      <c r="BG461" s="130"/>
      <c r="BH461" s="123"/>
      <c r="BI461" s="123"/>
      <c r="BJ461" s="123"/>
      <c r="BK461" s="123"/>
      <c r="BL461" s="124" t="s">
        <v>420</v>
      </c>
      <c r="BM461" s="103">
        <f>AVERAGE(BM457:BM459)</f>
        <v>0.30666597723210187</v>
      </c>
      <c r="BN461" s="123"/>
      <c r="BO461" s="123"/>
      <c r="BP461" s="123" t="s">
        <v>401</v>
      </c>
      <c r="BQ461" s="123">
        <v>9500</v>
      </c>
      <c r="BR461" s="98"/>
    </row>
    <row r="462" spans="1:70" ht="15.75" thickBot="1">
      <c r="A462" s="140" t="s">
        <v>254</v>
      </c>
      <c r="J462" s="124" t="s">
        <v>218</v>
      </c>
      <c r="L462" s="98"/>
      <c r="BG462" s="130"/>
      <c r="BH462" s="123"/>
      <c r="BI462" s="123"/>
      <c r="BJ462" s="123"/>
      <c r="BK462" s="123"/>
      <c r="BL462" s="123"/>
      <c r="BM462" s="123"/>
      <c r="BN462" s="123"/>
      <c r="BO462" s="123"/>
      <c r="BP462" s="123"/>
      <c r="BQ462" s="123"/>
      <c r="BR462" s="98"/>
    </row>
    <row r="463" spans="1:70" ht="16.5" thickTop="1" thickBot="1">
      <c r="A463" s="1"/>
      <c r="B463" s="2" t="s">
        <v>8</v>
      </c>
      <c r="C463" s="2" t="s">
        <v>9</v>
      </c>
      <c r="D463" s="2" t="s">
        <v>10</v>
      </c>
      <c r="E463" s="3" t="s">
        <v>11</v>
      </c>
      <c r="F463" s="103" t="s">
        <v>16</v>
      </c>
      <c r="G463" s="103" t="s">
        <v>172</v>
      </c>
      <c r="H463" s="124" t="s">
        <v>171</v>
      </c>
      <c r="J463" s="123">
        <v>0.13</v>
      </c>
      <c r="K463" s="103" t="s">
        <v>212</v>
      </c>
      <c r="L463" s="98"/>
      <c r="BG463" s="140" t="s">
        <v>254</v>
      </c>
      <c r="BH463" s="123"/>
      <c r="BI463" s="123"/>
      <c r="BJ463" s="123"/>
      <c r="BK463" s="123"/>
      <c r="BL463" s="123"/>
      <c r="BM463" s="123"/>
      <c r="BN463" s="123"/>
      <c r="BO463" s="123"/>
      <c r="BP463" s="124" t="s">
        <v>218</v>
      </c>
      <c r="BQ463" s="123"/>
      <c r="BR463" s="98"/>
    </row>
    <row r="464" spans="1:70" ht="15.75" thickTop="1">
      <c r="A464" s="4" t="s">
        <v>3</v>
      </c>
      <c r="B464" s="100">
        <v>720.47299999999996</v>
      </c>
      <c r="C464" s="5">
        <v>665.33799999999997</v>
      </c>
      <c r="D464" s="5">
        <v>579.02800000000002</v>
      </c>
      <c r="E464" s="110">
        <f>SUM(B464:D464)</f>
        <v>1964.8389999999999</v>
      </c>
      <c r="F464" s="123">
        <f>D464/(B464+C464)</f>
        <v>0.41782609605494547</v>
      </c>
      <c r="G464" s="123">
        <f>B464/C464</f>
        <v>1.0828676552368872</v>
      </c>
      <c r="H464" s="125">
        <f>ABS((E467-E459)/E459)</f>
        <v>4.181943329078406E-2</v>
      </c>
      <c r="J464" s="123">
        <f>J463</f>
        <v>0.13</v>
      </c>
      <c r="K464" s="123" t="s">
        <v>213</v>
      </c>
      <c r="L464" s="98"/>
      <c r="BG464" s="1"/>
      <c r="BH464" s="2" t="s">
        <v>8</v>
      </c>
      <c r="BI464" s="2" t="s">
        <v>9</v>
      </c>
      <c r="BJ464" s="2" t="s">
        <v>10</v>
      </c>
      <c r="BK464" s="3" t="s">
        <v>11</v>
      </c>
      <c r="BL464" s="103" t="s">
        <v>16</v>
      </c>
      <c r="BM464" s="103" t="s">
        <v>172</v>
      </c>
      <c r="BN464" s="124" t="s">
        <v>171</v>
      </c>
      <c r="BO464" s="123"/>
      <c r="BP464" s="123">
        <v>0.01</v>
      </c>
      <c r="BQ464" s="103" t="s">
        <v>212</v>
      </c>
      <c r="BR464" s="98"/>
    </row>
    <row r="465" spans="1:70">
      <c r="A465" s="4" t="s">
        <v>4</v>
      </c>
      <c r="B465" s="5">
        <v>731.01</v>
      </c>
      <c r="C465" s="5">
        <v>330.99900000000002</v>
      </c>
      <c r="D465" s="5">
        <v>443.73500000000001</v>
      </c>
      <c r="E465" s="112">
        <f t="shared" ref="E465:E466" si="887">SUM(B465:D465)</f>
        <v>1505.7440000000001</v>
      </c>
      <c r="F465" s="123">
        <f t="shared" ref="F465:F467" si="888">D465/(B465+C465)</f>
        <v>0.41782602595646556</v>
      </c>
      <c r="G465" s="123">
        <f t="shared" ref="G465:G467" si="889">B465/C465</f>
        <v>2.2084960981755231</v>
      </c>
      <c r="J465" s="123">
        <f>J463*0.5</f>
        <v>6.5000000000000002E-2</v>
      </c>
      <c r="K465" s="123" t="s">
        <v>214</v>
      </c>
      <c r="L465" s="98"/>
      <c r="BG465" s="4" t="s">
        <v>3</v>
      </c>
      <c r="BH465" s="100">
        <v>6562.09</v>
      </c>
      <c r="BI465" s="5">
        <v>24208.799999999999</v>
      </c>
      <c r="BJ465" s="5">
        <v>13883</v>
      </c>
      <c r="BK465" s="110">
        <f>SUM(BH465:BJ465)</f>
        <v>44653.89</v>
      </c>
      <c r="BL465" s="123">
        <f>BJ465/(BH465+BI465)</f>
        <v>0.45117317048678152</v>
      </c>
      <c r="BM465" s="123">
        <f>BH465/BI465</f>
        <v>0.27106217573774827</v>
      </c>
      <c r="BN465" s="125">
        <f>ABS((BK468-BK460)/BK460)</f>
        <v>8.8056922786672043E-3</v>
      </c>
      <c r="BO465" s="123"/>
      <c r="BP465" s="123">
        <f>BP464</f>
        <v>0.01</v>
      </c>
      <c r="BQ465" s="123" t="s">
        <v>213</v>
      </c>
      <c r="BR465" s="98"/>
    </row>
    <row r="466" spans="1:70">
      <c r="A466" s="4" t="s">
        <v>5</v>
      </c>
      <c r="B466" s="5">
        <v>513.35599999999999</v>
      </c>
      <c r="C466" s="5">
        <v>509.40699999999998</v>
      </c>
      <c r="D466" s="5">
        <v>427.33699999999999</v>
      </c>
      <c r="E466" s="108">
        <f t="shared" si="887"/>
        <v>1450.1</v>
      </c>
      <c r="F466" s="123">
        <f t="shared" si="888"/>
        <v>0.41782602616637482</v>
      </c>
      <c r="G466" s="123">
        <f t="shared" si="889"/>
        <v>1.0077521510305121</v>
      </c>
      <c r="J466" s="103">
        <f>J465</f>
        <v>6.5000000000000002E-2</v>
      </c>
      <c r="K466" s="103" t="s">
        <v>215</v>
      </c>
      <c r="L466" s="98"/>
      <c r="BG466" s="4" t="s">
        <v>4</v>
      </c>
      <c r="BH466" s="5">
        <v>25477.4</v>
      </c>
      <c r="BI466" s="5">
        <v>72127.100000000006</v>
      </c>
      <c r="BJ466" s="5">
        <v>44036.7</v>
      </c>
      <c r="BK466" s="112">
        <f t="shared" ref="BK466:BK467" si="890">SUM(BH466:BJ466)</f>
        <v>141641.20000000001</v>
      </c>
      <c r="BL466" s="123">
        <f t="shared" ref="BL466:BL468" si="891">BJ466/(BH466+BI466)</f>
        <v>0.45117489460014648</v>
      </c>
      <c r="BM466" s="123">
        <f t="shared" ref="BM466:BM468" si="892">BH466/BI466</f>
        <v>0.35322923006747808</v>
      </c>
      <c r="BN466" s="123"/>
      <c r="BO466" s="123"/>
      <c r="BP466" s="123">
        <f t="shared" ref="BP466" si="893">BP465</f>
        <v>0.01</v>
      </c>
      <c r="BQ466" s="123" t="s">
        <v>214</v>
      </c>
      <c r="BR466" s="98"/>
    </row>
    <row r="467" spans="1:70" ht="15.75" thickBot="1">
      <c r="A467" s="7"/>
      <c r="B467" s="111">
        <f>SUM(B464:B466)</f>
        <v>1964.8389999999999</v>
      </c>
      <c r="C467" s="113">
        <f t="shared" ref="C467:D467" si="894">SUM(C464:C466)</f>
        <v>1505.7439999999999</v>
      </c>
      <c r="D467" s="109">
        <f t="shared" si="894"/>
        <v>1450.1</v>
      </c>
      <c r="E467" s="102">
        <f>SUM(E464:E466)</f>
        <v>4920.683</v>
      </c>
      <c r="F467" s="123">
        <f t="shared" si="888"/>
        <v>0.41782605400879336</v>
      </c>
      <c r="G467" s="123">
        <f t="shared" si="889"/>
        <v>1.3048957857378147</v>
      </c>
      <c r="J467" s="103">
        <f>J463*0.3</f>
        <v>3.9E-2</v>
      </c>
      <c r="K467" s="103" t="s">
        <v>216</v>
      </c>
      <c r="L467" s="98"/>
      <c r="BG467" s="4" t="s">
        <v>5</v>
      </c>
      <c r="BH467" s="5">
        <v>12614.4</v>
      </c>
      <c r="BI467" s="5">
        <v>45305.3</v>
      </c>
      <c r="BJ467" s="5">
        <v>26131.9</v>
      </c>
      <c r="BK467" s="108">
        <f t="shared" si="890"/>
        <v>84051.6</v>
      </c>
      <c r="BL467" s="123">
        <f t="shared" si="891"/>
        <v>0.45117464351507347</v>
      </c>
      <c r="BM467" s="123">
        <f t="shared" si="892"/>
        <v>0.27843100034653778</v>
      </c>
      <c r="BN467" s="123"/>
      <c r="BO467" s="123" t="s">
        <v>397</v>
      </c>
      <c r="BP467" s="123"/>
      <c r="BQ467" s="103" t="s">
        <v>215</v>
      </c>
      <c r="BR467" s="98"/>
    </row>
    <row r="468" spans="1:70" ht="16.5" thickTop="1" thickBot="1">
      <c r="A468" s="130"/>
      <c r="F468" s="124" t="s">
        <v>420</v>
      </c>
      <c r="G468" s="103">
        <f>AVERAGE(G464:G466)</f>
        <v>1.4330386348143076</v>
      </c>
      <c r="J468" s="103">
        <f>J467</f>
        <v>3.9E-2</v>
      </c>
      <c r="K468" s="103" t="s">
        <v>217</v>
      </c>
      <c r="L468" s="98"/>
      <c r="BG468" s="7"/>
      <c r="BH468" s="111">
        <f>SUM(BH465:BH467)</f>
        <v>44653.89</v>
      </c>
      <c r="BI468" s="113">
        <f t="shared" ref="BI468:BJ468" si="895">SUM(BI465:BI467)</f>
        <v>141641.20000000001</v>
      </c>
      <c r="BJ468" s="109">
        <f t="shared" si="895"/>
        <v>84051.6</v>
      </c>
      <c r="BK468" s="102">
        <f>SUM(BK465:BK467)</f>
        <v>270346.69000000006</v>
      </c>
      <c r="BL468" s="123">
        <f t="shared" si="891"/>
        <v>0.45117453176033784</v>
      </c>
      <c r="BM468" s="123">
        <f t="shared" si="892"/>
        <v>0.3152606021411849</v>
      </c>
      <c r="BN468" s="123"/>
      <c r="BO468" s="123" t="s">
        <v>398</v>
      </c>
      <c r="BP468" s="123"/>
      <c r="BQ468" s="103" t="s">
        <v>216</v>
      </c>
      <c r="BR468" s="98"/>
    </row>
    <row r="469" spans="1:70" ht="15.75" thickTop="1">
      <c r="A469" s="130" t="s">
        <v>12</v>
      </c>
      <c r="B469" s="123">
        <f>B464/B456</f>
        <v>1.01264411920554</v>
      </c>
      <c r="C469" s="123" t="s">
        <v>163</v>
      </c>
      <c r="D469" s="123">
        <f>C464/C456</f>
        <v>1.1299072927758333</v>
      </c>
      <c r="E469" s="124" t="s">
        <v>255</v>
      </c>
      <c r="J469" s="139" t="s">
        <v>248</v>
      </c>
      <c r="L469" s="98"/>
      <c r="BG469" s="130"/>
      <c r="BH469" s="123"/>
      <c r="BI469" s="123"/>
      <c r="BJ469" s="123"/>
      <c r="BK469" s="123"/>
      <c r="BL469" s="124" t="s">
        <v>420</v>
      </c>
      <c r="BM469" s="103">
        <f>AVERAGE(BM465:BM467)</f>
        <v>0.30090746871725471</v>
      </c>
      <c r="BN469" s="123"/>
      <c r="BO469" s="123" t="s">
        <v>399</v>
      </c>
      <c r="BP469" s="123"/>
      <c r="BQ469" s="103" t="s">
        <v>217</v>
      </c>
      <c r="BR469" s="98"/>
    </row>
    <row r="470" spans="1:70">
      <c r="A470" s="130" t="s">
        <v>13</v>
      </c>
      <c r="B470" s="123">
        <f t="shared" ref="B470:B471" si="896">B465/B457</f>
        <v>1.0127653796917688</v>
      </c>
      <c r="C470" s="123" t="s">
        <v>164</v>
      </c>
      <c r="D470" s="123">
        <f t="shared" ref="D470:D471" si="897">C465/C457</f>
        <v>1.1343429358665926</v>
      </c>
      <c r="E470" s="123">
        <f>VAR(G456:G458)</f>
        <v>0.56978989454530682</v>
      </c>
      <c r="F470" s="124">
        <f>STDEV(G456:G458)/G460</f>
        <v>0.47082593555552776</v>
      </c>
      <c r="G470" s="124" t="s">
        <v>449</v>
      </c>
      <c r="L470" s="98"/>
      <c r="BG470" s="130" t="s">
        <v>12</v>
      </c>
      <c r="BH470" s="123">
        <f>BH465/BH457</f>
        <v>0.99879908310223176</v>
      </c>
      <c r="BI470" s="123" t="s">
        <v>163</v>
      </c>
      <c r="BJ470" s="123">
        <f>BI465/BI457</f>
        <v>1.017488557414669</v>
      </c>
      <c r="BK470" s="124" t="s">
        <v>255</v>
      </c>
      <c r="BL470" s="123"/>
      <c r="BM470" s="123"/>
      <c r="BN470" s="123"/>
      <c r="BO470" s="123"/>
      <c r="BP470" s="124" t="s">
        <v>396</v>
      </c>
      <c r="BQ470" s="123"/>
      <c r="BR470" s="98"/>
    </row>
    <row r="471" spans="1:70">
      <c r="A471" s="130" t="s">
        <v>14</v>
      </c>
      <c r="B471" s="123">
        <f t="shared" si="896"/>
        <v>1.0097800088122364</v>
      </c>
      <c r="C471" s="123" t="s">
        <v>165</v>
      </c>
      <c r="D471" s="123">
        <f t="shared" si="897"/>
        <v>1.1300943950839129</v>
      </c>
      <c r="G471" s="124" t="s">
        <v>438</v>
      </c>
      <c r="L471" s="98"/>
      <c r="BG471" s="130" t="s">
        <v>13</v>
      </c>
      <c r="BH471" s="123">
        <f t="shared" ref="BH471:BH472" si="898">BH466/BH458</f>
        <v>0.99840114114631917</v>
      </c>
      <c r="BI471" s="123" t="s">
        <v>164</v>
      </c>
      <c r="BJ471" s="123">
        <f t="shared" ref="BJ471:BJ472" si="899">BI466/BI458</f>
        <v>1.0174868629871276</v>
      </c>
      <c r="BK471" s="123">
        <f>VAR(BM457:BM459)</f>
        <v>2.1469283905546921E-3</v>
      </c>
      <c r="BL471" s="124">
        <f>STDEV(BM457:BM459)/BM461</f>
        <v>0.15109259605768019</v>
      </c>
      <c r="BM471" s="124" t="s">
        <v>449</v>
      </c>
      <c r="BN471" s="123"/>
      <c r="BO471" s="123"/>
      <c r="BP471" s="123"/>
      <c r="BQ471" s="123"/>
      <c r="BR471" s="98"/>
    </row>
    <row r="472" spans="1:70">
      <c r="A472" s="130" t="s">
        <v>15</v>
      </c>
      <c r="B472" s="123">
        <f>E464/E456</f>
        <v>1.0119392869080379</v>
      </c>
      <c r="C472" s="123" t="s">
        <v>67</v>
      </c>
      <c r="D472" s="123">
        <f>E465/E457</f>
        <v>1.1309427777852887</v>
      </c>
      <c r="E472" s="124" t="s">
        <v>256</v>
      </c>
      <c r="L472" s="98"/>
      <c r="BG472" s="130" t="s">
        <v>14</v>
      </c>
      <c r="BH472" s="123">
        <f t="shared" si="898"/>
        <v>0.99795099799846521</v>
      </c>
      <c r="BI472" s="123" t="s">
        <v>165</v>
      </c>
      <c r="BJ472" s="123">
        <f t="shared" si="899"/>
        <v>1.0174884226507301</v>
      </c>
      <c r="BK472" s="123"/>
      <c r="BL472" s="123"/>
      <c r="BM472" s="124" t="s">
        <v>438</v>
      </c>
      <c r="BN472" s="123"/>
      <c r="BO472" s="123"/>
      <c r="BP472" s="123"/>
      <c r="BQ472" s="123"/>
      <c r="BR472" s="98"/>
    </row>
    <row r="473" spans="1:70">
      <c r="A473" s="130" t="s">
        <v>170</v>
      </c>
      <c r="B473" s="123">
        <f>VAR(B469:B471)</f>
        <v>2.8550452898183906E-6</v>
      </c>
      <c r="C473" s="123" t="s">
        <v>170</v>
      </c>
      <c r="D473" s="123">
        <f>VAR(D469:D471)</f>
        <v>6.2933392807304157E-6</v>
      </c>
      <c r="E473" s="123">
        <f>VAR(G464:G466)</f>
        <v>0.45241129285500215</v>
      </c>
      <c r="F473" s="124">
        <f>STDEV(G464:G466)/G468</f>
        <v>0.46936296571477604</v>
      </c>
      <c r="G473" s="124" t="s">
        <v>449</v>
      </c>
      <c r="L473" s="98"/>
      <c r="BG473" s="130" t="s">
        <v>15</v>
      </c>
      <c r="BH473" s="123">
        <f>BK465/BK457</f>
        <v>0.99833238241049116</v>
      </c>
      <c r="BI473" s="123" t="s">
        <v>67</v>
      </c>
      <c r="BJ473" s="123">
        <f>BK466/BK458</f>
        <v>1.0174876514653022</v>
      </c>
      <c r="BK473" s="124" t="s">
        <v>256</v>
      </c>
      <c r="BL473" s="123"/>
      <c r="BM473" s="123"/>
      <c r="BN473" s="123"/>
      <c r="BO473" s="123"/>
      <c r="BP473" s="123"/>
      <c r="BQ473" s="123"/>
      <c r="BR473" s="98"/>
    </row>
    <row r="474" spans="1:70">
      <c r="A474" s="130"/>
      <c r="G474" s="124" t="s">
        <v>438</v>
      </c>
      <c r="L474" s="98"/>
      <c r="BG474" s="130" t="s">
        <v>170</v>
      </c>
      <c r="BH474" s="123">
        <f>VAR(BH470:BH472)</f>
        <v>1.8003916617768809E-7</v>
      </c>
      <c r="BI474" s="123" t="s">
        <v>170</v>
      </c>
      <c r="BJ474" s="123">
        <f>VAR(BJ470:BJ472)</f>
        <v>8.8696609419570472E-13</v>
      </c>
      <c r="BK474" s="123">
        <f>VAR(BM465:BM467)</f>
        <v>2.066749927121081E-3</v>
      </c>
      <c r="BL474" s="124">
        <f>STDEV(BM465:BM467)/BM469</f>
        <v>0.15108139915603655</v>
      </c>
      <c r="BM474" s="124" t="s">
        <v>449</v>
      </c>
      <c r="BN474" s="123"/>
      <c r="BO474" s="123"/>
      <c r="BP474" s="123"/>
      <c r="BQ474" s="123"/>
      <c r="BR474" s="98"/>
    </row>
    <row r="475" spans="1:70">
      <c r="A475" s="130"/>
      <c r="D475" s="123" t="s">
        <v>444</v>
      </c>
      <c r="L475" s="98"/>
      <c r="BG475" s="130"/>
      <c r="BH475" s="123"/>
      <c r="BI475" s="123"/>
      <c r="BJ475" s="123"/>
      <c r="BK475" s="123"/>
      <c r="BL475" s="123"/>
      <c r="BM475" s="124" t="s">
        <v>438</v>
      </c>
      <c r="BN475" s="123"/>
      <c r="BO475" s="123"/>
      <c r="BP475" s="123"/>
      <c r="BQ475" s="123"/>
      <c r="BR475" s="98"/>
    </row>
    <row r="476" spans="1:70">
      <c r="A476" s="130"/>
      <c r="B476" s="123">
        <f>B469</f>
        <v>1.01264411920554</v>
      </c>
      <c r="D476" s="123">
        <f>ABS(C464-B465)/C464</f>
        <v>9.8704718503978467E-2</v>
      </c>
      <c r="E476" s="123" t="s">
        <v>446</v>
      </c>
      <c r="L476" s="98"/>
      <c r="BG476" s="130"/>
      <c r="BH476" s="123"/>
      <c r="BI476" s="123"/>
      <c r="BJ476" s="123" t="s">
        <v>444</v>
      </c>
      <c r="BK476" s="123"/>
      <c r="BL476" s="123"/>
      <c r="BM476" s="123"/>
      <c r="BN476" s="123"/>
      <c r="BO476" s="123"/>
      <c r="BP476" s="123"/>
      <c r="BQ476" s="123"/>
      <c r="BR476" s="98"/>
    </row>
    <row r="477" spans="1:70">
      <c r="A477" s="130"/>
      <c r="B477" s="123">
        <f t="shared" ref="B477:B478" si="900">B470</f>
        <v>1.0127653796917688</v>
      </c>
      <c r="D477" s="123">
        <f>ABS((C456-B457)/C456)</f>
        <v>0.22578683961599288</v>
      </c>
      <c r="E477" s="123" t="s">
        <v>445</v>
      </c>
      <c r="L477" s="98"/>
      <c r="BG477" s="130"/>
      <c r="BH477" s="123">
        <f>BH470</f>
        <v>0.99879908310223176</v>
      </c>
      <c r="BI477" s="123"/>
      <c r="BJ477" s="123">
        <f>ABS(BI465-BH466)/BI465</f>
        <v>5.2402432173424635E-2</v>
      </c>
      <c r="BK477" s="123" t="s">
        <v>446</v>
      </c>
      <c r="BL477" s="123"/>
      <c r="BM477" s="123"/>
      <c r="BN477" s="123"/>
      <c r="BO477" s="123"/>
      <c r="BP477" s="123"/>
      <c r="BQ477" s="123"/>
      <c r="BR477" s="98"/>
    </row>
    <row r="478" spans="1:70">
      <c r="A478" s="130"/>
      <c r="B478" s="123">
        <f t="shared" si="900"/>
        <v>1.0097800088122364</v>
      </c>
      <c r="L478" s="98"/>
      <c r="BG478" s="130"/>
      <c r="BH478" s="123">
        <f t="shared" ref="BH478:BH479" si="901">BH471</f>
        <v>0.99840114114631917</v>
      </c>
      <c r="BI478" s="123"/>
      <c r="BJ478" s="123">
        <f>ABS((BI457-BH458)/BI457)</f>
        <v>7.2522244217764265E-2</v>
      </c>
      <c r="BK478" s="123" t="s">
        <v>445</v>
      </c>
      <c r="BL478" s="123"/>
      <c r="BM478" s="123"/>
      <c r="BN478" s="123"/>
      <c r="BO478" s="123"/>
      <c r="BP478" s="123"/>
      <c r="BQ478" s="123"/>
      <c r="BR478" s="98"/>
    </row>
    <row r="479" spans="1:70">
      <c r="A479" s="130"/>
      <c r="B479" s="123">
        <f>D469</f>
        <v>1.1299072927758333</v>
      </c>
      <c r="L479" s="98"/>
      <c r="BG479" s="130"/>
      <c r="BH479" s="123">
        <f t="shared" si="901"/>
        <v>0.99795099799846521</v>
      </c>
      <c r="BI479" s="123"/>
      <c r="BJ479" s="123"/>
      <c r="BK479" s="123"/>
      <c r="BL479" s="123"/>
      <c r="BM479" s="123"/>
      <c r="BN479" s="123"/>
      <c r="BO479" s="123"/>
      <c r="BP479" s="123"/>
      <c r="BQ479" s="123"/>
      <c r="BR479" s="98"/>
    </row>
    <row r="480" spans="1:70">
      <c r="A480" s="130"/>
      <c r="B480" s="123">
        <f t="shared" ref="B480:B481" si="902">D470</f>
        <v>1.1343429358665926</v>
      </c>
      <c r="L480" s="98"/>
      <c r="BG480" s="130"/>
      <c r="BH480" s="123">
        <f>BJ470</f>
        <v>1.017488557414669</v>
      </c>
      <c r="BI480" s="123"/>
      <c r="BJ480" s="123"/>
      <c r="BK480" s="123"/>
      <c r="BL480" s="123"/>
      <c r="BM480" s="123"/>
      <c r="BN480" s="123"/>
      <c r="BO480" s="123"/>
      <c r="BP480" s="123"/>
      <c r="BQ480" s="123"/>
      <c r="BR480" s="98"/>
    </row>
    <row r="481" spans="1:70">
      <c r="A481" s="130"/>
      <c r="B481" s="123">
        <f t="shared" si="902"/>
        <v>1.1300943950839129</v>
      </c>
      <c r="L481" s="98"/>
      <c r="BG481" s="130"/>
      <c r="BH481" s="123">
        <f t="shared" ref="BH481:BH482" si="903">BJ471</f>
        <v>1.0174868629871276</v>
      </c>
      <c r="BI481" s="123"/>
      <c r="BJ481" s="123"/>
      <c r="BK481" s="123"/>
      <c r="BL481" s="123"/>
      <c r="BM481" s="123"/>
      <c r="BN481" s="123"/>
      <c r="BO481" s="123"/>
      <c r="BP481" s="123"/>
      <c r="BQ481" s="123"/>
      <c r="BR481" s="98"/>
    </row>
    <row r="482" spans="1:70" ht="15.75" thickBot="1">
      <c r="A482" s="131" t="s">
        <v>170</v>
      </c>
      <c r="B482" s="126">
        <f>VAR(B476:B481)</f>
        <v>4.303405932529536E-3</v>
      </c>
      <c r="C482" s="126"/>
      <c r="D482" s="126"/>
      <c r="E482" s="126"/>
      <c r="F482" s="126"/>
      <c r="G482" s="126"/>
      <c r="H482" s="126"/>
      <c r="I482" s="126"/>
      <c r="J482" s="126"/>
      <c r="K482" s="126"/>
      <c r="L482" s="127"/>
      <c r="BG482" s="130"/>
      <c r="BH482" s="123">
        <f t="shared" si="903"/>
        <v>1.0174884226507301</v>
      </c>
      <c r="BI482" s="123"/>
      <c r="BJ482" s="123"/>
      <c r="BK482" s="123"/>
      <c r="BL482" s="123"/>
      <c r="BM482" s="123"/>
      <c r="BN482" s="123"/>
      <c r="BO482" s="123"/>
      <c r="BP482" s="123"/>
      <c r="BQ482" s="123"/>
      <c r="BR482" s="98"/>
    </row>
    <row r="483" spans="1:70" ht="16.5" thickTop="1" thickBot="1">
      <c r="A483" s="128"/>
      <c r="B483" s="121"/>
      <c r="C483" s="121"/>
      <c r="D483" s="121"/>
      <c r="E483" s="121"/>
      <c r="F483" s="133" t="s">
        <v>239</v>
      </c>
      <c r="G483" s="121"/>
      <c r="H483" s="121"/>
      <c r="I483" s="129" t="s">
        <v>228</v>
      </c>
      <c r="J483" s="121"/>
      <c r="K483" s="121"/>
      <c r="L483" s="122"/>
      <c r="BG483" s="131" t="s">
        <v>170</v>
      </c>
      <c r="BH483" s="126">
        <f>VAR(BH477:BH482)</f>
        <v>1.0956323280779943E-4</v>
      </c>
      <c r="BI483" s="126"/>
      <c r="BJ483" s="126"/>
      <c r="BK483" s="126"/>
      <c r="BL483" s="126"/>
      <c r="BM483" s="126"/>
      <c r="BN483" s="126"/>
      <c r="BO483" s="126"/>
      <c r="BP483" s="126"/>
      <c r="BQ483" s="126"/>
      <c r="BR483" s="127"/>
    </row>
    <row r="484" spans="1:70" ht="16.5" thickTop="1" thickBot="1">
      <c r="A484" s="130" t="s">
        <v>167</v>
      </c>
      <c r="H484" s="123" t="s">
        <v>168</v>
      </c>
      <c r="L484" s="98"/>
      <c r="BG484" s="128"/>
      <c r="BH484" s="121"/>
      <c r="BI484" s="121"/>
      <c r="BJ484" s="121"/>
      <c r="BK484" s="121"/>
      <c r="BL484" s="133" t="s">
        <v>239</v>
      </c>
      <c r="BM484" s="121"/>
      <c r="BN484" s="121"/>
      <c r="BO484" s="129" t="s">
        <v>408</v>
      </c>
      <c r="BP484" s="121"/>
      <c r="BQ484" s="121"/>
      <c r="BR484" s="122"/>
    </row>
    <row r="485" spans="1:70" ht="16.5" thickTop="1" thickBot="1">
      <c r="A485" s="1"/>
      <c r="B485" s="2" t="s">
        <v>0</v>
      </c>
      <c r="C485" s="2" t="s">
        <v>1</v>
      </c>
      <c r="D485" s="2" t="s">
        <v>2</v>
      </c>
      <c r="E485" s="3" t="s">
        <v>6</v>
      </c>
      <c r="F485" s="103" t="s">
        <v>70</v>
      </c>
      <c r="G485" s="103" t="s">
        <v>172</v>
      </c>
      <c r="H485" s="123" t="s">
        <v>3</v>
      </c>
      <c r="I485" s="123">
        <v>6</v>
      </c>
      <c r="K485" s="123" t="s">
        <v>19</v>
      </c>
      <c r="L485" s="98">
        <v>0.28367700000000001</v>
      </c>
      <c r="BG485" s="130" t="s">
        <v>167</v>
      </c>
      <c r="BH485" s="123"/>
      <c r="BI485" s="123"/>
      <c r="BJ485" s="123"/>
      <c r="BK485" s="123"/>
      <c r="BL485" s="123"/>
      <c r="BM485" s="123"/>
      <c r="BN485" s="123" t="s">
        <v>168</v>
      </c>
      <c r="BO485" s="123"/>
      <c r="BP485" s="123"/>
      <c r="BQ485" s="123"/>
      <c r="BR485" s="98"/>
    </row>
    <row r="486" spans="1:70" ht="15.75" thickTop="1">
      <c r="A486" s="4" t="s">
        <v>3</v>
      </c>
      <c r="B486" s="100">
        <v>1369.5</v>
      </c>
      <c r="C486" s="5">
        <v>966.51900000000001</v>
      </c>
      <c r="D486" s="5">
        <v>754.90800000000002</v>
      </c>
      <c r="E486" s="104">
        <f>SUM(B486:D486)</f>
        <v>3090.9270000000001</v>
      </c>
      <c r="F486" s="123">
        <f>D486/C486</f>
        <v>0.78105862378287438</v>
      </c>
      <c r="G486" s="123">
        <f>B486/C486</f>
        <v>1.4169405878208292</v>
      </c>
      <c r="H486" s="123" t="s">
        <v>4</v>
      </c>
      <c r="I486" s="123">
        <v>12</v>
      </c>
      <c r="L486" s="98"/>
      <c r="BG486" s="1"/>
      <c r="BH486" s="2" t="s">
        <v>0</v>
      </c>
      <c r="BI486" s="2" t="s">
        <v>1</v>
      </c>
      <c r="BJ486" s="2" t="s">
        <v>2</v>
      </c>
      <c r="BK486" s="3" t="s">
        <v>6</v>
      </c>
      <c r="BL486" s="103" t="s">
        <v>70</v>
      </c>
      <c r="BM486" s="103" t="s">
        <v>172</v>
      </c>
      <c r="BN486" s="123" t="s">
        <v>3</v>
      </c>
      <c r="BO486" s="123">
        <v>30</v>
      </c>
      <c r="BP486" s="123"/>
      <c r="BQ486" s="123" t="s">
        <v>19</v>
      </c>
      <c r="BR486" s="98">
        <v>2.8201899999999998E-2</v>
      </c>
    </row>
    <row r="487" spans="1:70">
      <c r="A487" s="4" t="s">
        <v>4</v>
      </c>
      <c r="B487" s="5">
        <v>1169.0899999999999</v>
      </c>
      <c r="C487" s="5">
        <v>455.76299999999998</v>
      </c>
      <c r="D487" s="5">
        <v>355.97800000000001</v>
      </c>
      <c r="E487" s="106">
        <f t="shared" ref="E487:E489" si="904">SUM(B487:D487)</f>
        <v>1980.8309999999999</v>
      </c>
      <c r="F487" s="123">
        <f t="shared" ref="F487:F489" si="905">D487/C487</f>
        <v>0.78105945414612421</v>
      </c>
      <c r="G487" s="123">
        <f t="shared" ref="G487:G489" si="906">B487/C487</f>
        <v>2.5651270506820429</v>
      </c>
      <c r="H487" s="123" t="s">
        <v>5</v>
      </c>
      <c r="I487" s="123">
        <v>4</v>
      </c>
      <c r="L487" s="98"/>
      <c r="BG487" s="4" t="s">
        <v>3</v>
      </c>
      <c r="BH487" s="100">
        <v>523786</v>
      </c>
      <c r="BI487" s="5">
        <v>53206.3</v>
      </c>
      <c r="BJ487" s="5">
        <v>16284.8</v>
      </c>
      <c r="BK487" s="104">
        <f>SUM(BH487:BJ487)</f>
        <v>593277.10000000009</v>
      </c>
      <c r="BL487" s="123">
        <f>BJ487/BI487</f>
        <v>0.30606901814258836</v>
      </c>
      <c r="BM487" s="123">
        <f>BH487/BI487</f>
        <v>9.8444357153194257</v>
      </c>
      <c r="BN487" s="123" t="s">
        <v>4</v>
      </c>
      <c r="BO487" s="123">
        <v>60</v>
      </c>
      <c r="BP487" s="123"/>
      <c r="BQ487" s="123"/>
      <c r="BR487" s="98"/>
    </row>
    <row r="488" spans="1:70">
      <c r="A488" s="4" t="s">
        <v>5</v>
      </c>
      <c r="B488" s="5">
        <v>552.33299999999997</v>
      </c>
      <c r="C488" s="5">
        <v>558.55200000000002</v>
      </c>
      <c r="D488" s="5">
        <v>436.262</v>
      </c>
      <c r="E488" s="108">
        <f t="shared" si="904"/>
        <v>1547.1469999999999</v>
      </c>
      <c r="F488" s="123">
        <f t="shared" si="905"/>
        <v>0.78105888082040698</v>
      </c>
      <c r="G488" s="123">
        <f t="shared" si="906"/>
        <v>0.98886585313453346</v>
      </c>
      <c r="L488" s="98"/>
      <c r="BG488" s="4" t="s">
        <v>4</v>
      </c>
      <c r="BH488" s="5">
        <v>53565.2</v>
      </c>
      <c r="BI488" s="5">
        <v>5451.07</v>
      </c>
      <c r="BJ488" s="5">
        <v>1668.4</v>
      </c>
      <c r="BK488" s="106">
        <f t="shared" ref="BK488:BK490" si="907">SUM(BH488:BJ488)</f>
        <v>60684.67</v>
      </c>
      <c r="BL488" s="123">
        <f t="shared" ref="BL488:BL490" si="908">BJ488/BI488</f>
        <v>0.30606834988360088</v>
      </c>
      <c r="BM488" s="123">
        <f t="shared" ref="BM488:BM490" si="909">BH488/BI488</f>
        <v>9.8265478153830355</v>
      </c>
      <c r="BN488" s="123" t="s">
        <v>5</v>
      </c>
      <c r="BO488" s="123">
        <v>25</v>
      </c>
      <c r="BP488" s="123"/>
      <c r="BQ488" s="123"/>
      <c r="BR488" s="98"/>
    </row>
    <row r="489" spans="1:70" ht="15.75" thickBot="1">
      <c r="A489" s="7"/>
      <c r="B489" s="105">
        <f>SUM(B486:B488)</f>
        <v>3090.9230000000002</v>
      </c>
      <c r="C489" s="107">
        <f>SUM(C486:C488)</f>
        <v>1980.8339999999998</v>
      </c>
      <c r="D489" s="109">
        <f>SUM(D486:D488)</f>
        <v>1547.1479999999999</v>
      </c>
      <c r="E489" s="101">
        <f t="shared" si="904"/>
        <v>6618.9049999999997</v>
      </c>
      <c r="F489" s="123">
        <f t="shared" si="905"/>
        <v>0.78105888731716033</v>
      </c>
      <c r="G489" s="123">
        <f t="shared" si="906"/>
        <v>1.560414956528412</v>
      </c>
      <c r="L489" s="98"/>
      <c r="BG489" s="4" t="s">
        <v>5</v>
      </c>
      <c r="BH489" s="5">
        <v>15925.9</v>
      </c>
      <c r="BI489" s="5">
        <v>2027.3</v>
      </c>
      <c r="BJ489" s="5">
        <v>620.49099999999999</v>
      </c>
      <c r="BK489" s="108">
        <f t="shared" si="907"/>
        <v>18573.690999999999</v>
      </c>
      <c r="BL489" s="123">
        <f t="shared" si="908"/>
        <v>0.3060676762196024</v>
      </c>
      <c r="BM489" s="123">
        <f t="shared" si="909"/>
        <v>7.8557194297834556</v>
      </c>
      <c r="BN489" s="123"/>
      <c r="BO489" s="123"/>
      <c r="BP489" s="123"/>
      <c r="BQ489" s="123"/>
      <c r="BR489" s="98"/>
    </row>
    <row r="490" spans="1:70" ht="16.5" thickTop="1" thickBot="1">
      <c r="A490" s="130"/>
      <c r="F490" s="124" t="s">
        <v>420</v>
      </c>
      <c r="G490" s="103">
        <f>AVERAGE(G486:G488)</f>
        <v>1.6569778305458021</v>
      </c>
      <c r="L490" s="98"/>
      <c r="BG490" s="7"/>
      <c r="BH490" s="105">
        <f>SUM(BH487:BH489)</f>
        <v>593277.1</v>
      </c>
      <c r="BI490" s="107">
        <f>SUM(BI487:BI489)</f>
        <v>60684.670000000006</v>
      </c>
      <c r="BJ490" s="109">
        <f>SUM(BJ487:BJ489)</f>
        <v>18573.690999999999</v>
      </c>
      <c r="BK490" s="101">
        <f t="shared" si="907"/>
        <v>672535.46100000001</v>
      </c>
      <c r="BL490" s="123">
        <f t="shared" si="908"/>
        <v>0.3060689132856782</v>
      </c>
      <c r="BM490" s="123">
        <f t="shared" si="909"/>
        <v>9.7763916323512987</v>
      </c>
      <c r="BN490" s="123"/>
      <c r="BO490" s="123"/>
      <c r="BP490" s="123"/>
      <c r="BQ490" s="123"/>
      <c r="BR490" s="98"/>
    </row>
    <row r="491" spans="1:70" ht="15.75" thickTop="1">
      <c r="A491" s="130"/>
      <c r="L491" s="98"/>
      <c r="BG491" s="130"/>
      <c r="BH491" s="123"/>
      <c r="BI491" s="123"/>
      <c r="BJ491" s="123"/>
      <c r="BK491" s="123"/>
      <c r="BL491" s="124" t="s">
        <v>420</v>
      </c>
      <c r="BM491" s="103">
        <f>AVERAGE(BM487:BM489)</f>
        <v>9.175567653495305</v>
      </c>
      <c r="BN491" s="123"/>
      <c r="BO491" s="123"/>
      <c r="BP491" s="123"/>
      <c r="BQ491" s="123"/>
      <c r="BR491" s="98"/>
    </row>
    <row r="492" spans="1:70" ht="15.75" thickBot="1">
      <c r="A492" s="140" t="s">
        <v>254</v>
      </c>
      <c r="J492" s="124" t="s">
        <v>218</v>
      </c>
      <c r="L492" s="98"/>
      <c r="BG492" s="130"/>
      <c r="BH492" s="123"/>
      <c r="BI492" s="123"/>
      <c r="BJ492" s="123"/>
      <c r="BK492" s="123"/>
      <c r="BL492" s="123"/>
      <c r="BM492" s="123"/>
      <c r="BN492" s="123"/>
      <c r="BO492" s="123"/>
      <c r="BP492" s="123"/>
      <c r="BQ492" s="123"/>
      <c r="BR492" s="98"/>
    </row>
    <row r="493" spans="1:70" ht="16.5" thickTop="1" thickBot="1">
      <c r="A493" s="1"/>
      <c r="B493" s="2" t="s">
        <v>8</v>
      </c>
      <c r="C493" s="2" t="s">
        <v>9</v>
      </c>
      <c r="D493" s="2" t="s">
        <v>10</v>
      </c>
      <c r="E493" s="3" t="s">
        <v>11</v>
      </c>
      <c r="F493" s="103" t="s">
        <v>16</v>
      </c>
      <c r="G493" s="103" t="s">
        <v>172</v>
      </c>
      <c r="H493" s="124" t="s">
        <v>171</v>
      </c>
      <c r="J493" s="123">
        <v>0.13</v>
      </c>
      <c r="K493" s="103" t="s">
        <v>212</v>
      </c>
      <c r="L493" s="98"/>
      <c r="BG493" s="140" t="s">
        <v>254</v>
      </c>
      <c r="BH493" s="123"/>
      <c r="BI493" s="123"/>
      <c r="BJ493" s="123"/>
      <c r="BK493" s="123"/>
      <c r="BL493" s="123"/>
      <c r="BM493" s="123"/>
      <c r="BN493" s="123"/>
      <c r="BO493" s="123"/>
      <c r="BP493" s="124" t="s">
        <v>218</v>
      </c>
      <c r="BQ493" s="123"/>
      <c r="BR493" s="98"/>
    </row>
    <row r="494" spans="1:70" ht="15.75" thickTop="1">
      <c r="A494" s="4" t="s">
        <v>3</v>
      </c>
      <c r="B494" s="100">
        <v>1434.2</v>
      </c>
      <c r="C494" s="5">
        <v>1082.9100000000001</v>
      </c>
      <c r="D494" s="5">
        <v>714.04399999999998</v>
      </c>
      <c r="E494" s="110">
        <f>SUM(B494:D494)</f>
        <v>3231.154</v>
      </c>
      <c r="F494" s="123">
        <f>D494/(B494+C494)</f>
        <v>0.28367612063040548</v>
      </c>
      <c r="G494" s="123">
        <f>B494/C494</f>
        <v>1.3243944556796039</v>
      </c>
      <c r="H494" s="125">
        <f>ABS((E497-E489)/E489)</f>
        <v>5.773734477228476E-2</v>
      </c>
      <c r="J494" s="123">
        <f>J493</f>
        <v>0.13</v>
      </c>
      <c r="K494" s="123" t="s">
        <v>213</v>
      </c>
      <c r="L494" s="98"/>
      <c r="BG494" s="1"/>
      <c r="BH494" s="2" t="s">
        <v>8</v>
      </c>
      <c r="BI494" s="2" t="s">
        <v>9</v>
      </c>
      <c r="BJ494" s="2" t="s">
        <v>10</v>
      </c>
      <c r="BK494" s="3" t="s">
        <v>11</v>
      </c>
      <c r="BL494" s="103" t="s">
        <v>16</v>
      </c>
      <c r="BM494" s="103" t="s">
        <v>172</v>
      </c>
      <c r="BN494" s="124" t="s">
        <v>171</v>
      </c>
      <c r="BO494" s="123"/>
      <c r="BP494" s="123">
        <v>0.04</v>
      </c>
      <c r="BQ494" s="103" t="s">
        <v>212</v>
      </c>
      <c r="BR494" s="98"/>
    </row>
    <row r="495" spans="1:70">
      <c r="A495" s="4" t="s">
        <v>4</v>
      </c>
      <c r="B495" s="5">
        <v>1219.3399999999999</v>
      </c>
      <c r="C495" s="5">
        <v>512.21900000000005</v>
      </c>
      <c r="D495" s="5">
        <v>491.20299999999997</v>
      </c>
      <c r="E495" s="112">
        <f t="shared" ref="E495:E496" si="910">SUM(B495:D495)</f>
        <v>2222.7619999999997</v>
      </c>
      <c r="F495" s="123">
        <f t="shared" ref="F495:F497" si="911">D495/(B495+C495)</f>
        <v>0.28367673293257695</v>
      </c>
      <c r="G495" s="123">
        <f t="shared" ref="G495:G497" si="912">B495/C495</f>
        <v>2.3805052135902804</v>
      </c>
      <c r="J495" s="123">
        <f>J493*0.5</f>
        <v>6.5000000000000002E-2</v>
      </c>
      <c r="K495" s="123" t="s">
        <v>214</v>
      </c>
      <c r="L495" s="98"/>
      <c r="BG495" s="4" t="s">
        <v>3</v>
      </c>
      <c r="BH495" s="100">
        <v>527499</v>
      </c>
      <c r="BI495" s="5">
        <v>53589</v>
      </c>
      <c r="BJ495" s="5">
        <v>16387.8</v>
      </c>
      <c r="BK495" s="110">
        <f>SUM(BH495:BJ495)</f>
        <v>597475.80000000005</v>
      </c>
      <c r="BL495" s="123">
        <f>BJ495/(BH495+BI495)</f>
        <v>2.8201924665455146E-2</v>
      </c>
      <c r="BM495" s="123">
        <f>BH495/BI495</f>
        <v>9.8434193584504275</v>
      </c>
      <c r="BN495" s="125">
        <f>ABS((BK498-BK490)/BK490)</f>
        <v>6.8919696711725372E-3</v>
      </c>
      <c r="BO495" s="123"/>
      <c r="BP495" s="123">
        <f>BP494</f>
        <v>0.04</v>
      </c>
      <c r="BQ495" s="123" t="s">
        <v>213</v>
      </c>
      <c r="BR495" s="98"/>
    </row>
    <row r="496" spans="1:70">
      <c r="A496" s="4" t="s">
        <v>5</v>
      </c>
      <c r="B496" s="5">
        <v>577.60900000000004</v>
      </c>
      <c r="C496" s="5">
        <v>627.63800000000003</v>
      </c>
      <c r="D496" s="5">
        <v>341.9</v>
      </c>
      <c r="E496" s="108">
        <f t="shared" si="910"/>
        <v>1547.1469999999999</v>
      </c>
      <c r="F496" s="123">
        <f t="shared" si="911"/>
        <v>0.28367629207954881</v>
      </c>
      <c r="G496" s="123">
        <f t="shared" si="912"/>
        <v>0.92029003980001212</v>
      </c>
      <c r="J496" s="103">
        <f>J495</f>
        <v>6.5000000000000002E-2</v>
      </c>
      <c r="K496" s="103" t="s">
        <v>215</v>
      </c>
      <c r="L496" s="98"/>
      <c r="BG496" s="4" t="s">
        <v>4</v>
      </c>
      <c r="BH496" s="5">
        <v>53954.400000000001</v>
      </c>
      <c r="BI496" s="5">
        <v>5490.28</v>
      </c>
      <c r="BJ496" s="5">
        <v>1676.45</v>
      </c>
      <c r="BK496" s="112">
        <f t="shared" ref="BK496:BK497" si="913">SUM(BH496:BJ496)</f>
        <v>61121.13</v>
      </c>
      <c r="BL496" s="123">
        <f t="shared" ref="BL496:BL498" si="914">BJ496/(BH496+BI496)</f>
        <v>2.8201850863693773E-2</v>
      </c>
      <c r="BM496" s="123">
        <f t="shared" ref="BM496:BM498" si="915">BH496/BI496</f>
        <v>9.8272583547651493</v>
      </c>
      <c r="BN496" s="123"/>
      <c r="BO496" s="123"/>
      <c r="BP496" s="123">
        <f t="shared" ref="BP496" si="916">BP495</f>
        <v>0.04</v>
      </c>
      <c r="BQ496" s="123" t="s">
        <v>214</v>
      </c>
      <c r="BR496" s="98"/>
    </row>
    <row r="497" spans="1:70" ht="15.75" thickBot="1">
      <c r="A497" s="7"/>
      <c r="B497" s="111">
        <f>SUM(B494:B496)</f>
        <v>3231.1489999999999</v>
      </c>
      <c r="C497" s="113">
        <f t="shared" ref="C497:D497" si="917">SUM(C494:C496)</f>
        <v>2222.7670000000003</v>
      </c>
      <c r="D497" s="109">
        <f t="shared" si="917"/>
        <v>1547.1469999999999</v>
      </c>
      <c r="E497" s="102">
        <f>SUM(E494:E496)</f>
        <v>7001.0629999999992</v>
      </c>
      <c r="F497" s="123">
        <f t="shared" si="911"/>
        <v>0.28367635291779336</v>
      </c>
      <c r="G497" s="123">
        <f t="shared" si="912"/>
        <v>1.4536606850830516</v>
      </c>
      <c r="J497" s="103">
        <f>J493*0.3</f>
        <v>3.9E-2</v>
      </c>
      <c r="K497" s="103" t="s">
        <v>216</v>
      </c>
      <c r="L497" s="98"/>
      <c r="BG497" s="4" t="s">
        <v>5</v>
      </c>
      <c r="BH497" s="5">
        <v>16022.3</v>
      </c>
      <c r="BI497" s="5">
        <v>2041.88</v>
      </c>
      <c r="BJ497" s="5">
        <v>509.44499999999999</v>
      </c>
      <c r="BK497" s="108">
        <f t="shared" si="913"/>
        <v>18573.625</v>
      </c>
      <c r="BL497" s="123">
        <f t="shared" si="914"/>
        <v>2.8201944400465452E-2</v>
      </c>
      <c r="BM497" s="123">
        <f t="shared" si="915"/>
        <v>7.846837228436538</v>
      </c>
      <c r="BN497" s="123"/>
      <c r="BO497" s="123" t="s">
        <v>397</v>
      </c>
      <c r="BP497" s="123"/>
      <c r="BQ497" s="103" t="s">
        <v>215</v>
      </c>
      <c r="BR497" s="98"/>
    </row>
    <row r="498" spans="1:70" ht="16.5" thickTop="1" thickBot="1">
      <c r="A498" s="130"/>
      <c r="F498" s="124" t="s">
        <v>420</v>
      </c>
      <c r="G498" s="103">
        <f>AVERAGE(G494:G496)</f>
        <v>1.5417299030232987</v>
      </c>
      <c r="J498" s="103">
        <f>J497</f>
        <v>3.9E-2</v>
      </c>
      <c r="K498" s="103" t="s">
        <v>217</v>
      </c>
      <c r="L498" s="98"/>
      <c r="BG498" s="7"/>
      <c r="BH498" s="111">
        <f>SUM(BH495:BH497)</f>
        <v>597475.70000000007</v>
      </c>
      <c r="BI498" s="113">
        <f t="shared" ref="BI498:BJ498" si="918">SUM(BI495:BI497)</f>
        <v>61121.159999999996</v>
      </c>
      <c r="BJ498" s="109">
        <f t="shared" si="918"/>
        <v>18573.695</v>
      </c>
      <c r="BK498" s="102">
        <f>SUM(BK495:BK497)</f>
        <v>677170.55500000005</v>
      </c>
      <c r="BL498" s="123">
        <f t="shared" si="914"/>
        <v>2.8201918545436123E-2</v>
      </c>
      <c r="BM498" s="123">
        <f t="shared" si="915"/>
        <v>9.7752676814379846</v>
      </c>
      <c r="BN498" s="123"/>
      <c r="BO498" s="123" t="s">
        <v>398</v>
      </c>
      <c r="BP498" s="123"/>
      <c r="BQ498" s="103" t="s">
        <v>216</v>
      </c>
      <c r="BR498" s="98"/>
    </row>
    <row r="499" spans="1:70" ht="15.75" thickTop="1">
      <c r="A499" s="130" t="s">
        <v>12</v>
      </c>
      <c r="B499" s="123">
        <f>B494/B486</f>
        <v>1.0472435195326761</v>
      </c>
      <c r="C499" s="123" t="s">
        <v>163</v>
      </c>
      <c r="D499" s="123">
        <f>C494/C486</f>
        <v>1.1204228783914234</v>
      </c>
      <c r="E499" s="124" t="s">
        <v>255</v>
      </c>
      <c r="J499" s="139" t="s">
        <v>248</v>
      </c>
      <c r="L499" s="98"/>
      <c r="BG499" s="130"/>
      <c r="BH499" s="123"/>
      <c r="BI499" s="123"/>
      <c r="BJ499" s="123"/>
      <c r="BK499" s="123"/>
      <c r="BL499" s="124" t="s">
        <v>420</v>
      </c>
      <c r="BM499" s="103">
        <f>AVERAGE(BM495:BM497)</f>
        <v>9.1725049805507037</v>
      </c>
      <c r="BN499" s="123"/>
      <c r="BO499" s="123" t="s">
        <v>399</v>
      </c>
      <c r="BP499" s="123"/>
      <c r="BQ499" s="103" t="s">
        <v>217</v>
      </c>
      <c r="BR499" s="98"/>
    </row>
    <row r="500" spans="1:70">
      <c r="A500" s="130" t="s">
        <v>13</v>
      </c>
      <c r="B500" s="123">
        <f t="shared" ref="B500:B501" si="919">B495/B487</f>
        <v>1.0429821485086692</v>
      </c>
      <c r="C500" s="123" t="s">
        <v>164</v>
      </c>
      <c r="D500" s="123">
        <f t="shared" ref="D500:D501" si="920">C495/C487</f>
        <v>1.1238713980731214</v>
      </c>
      <c r="E500" s="123">
        <f>VAR(G486:G488)</f>
        <v>0.66436324914473222</v>
      </c>
      <c r="F500" s="124">
        <f>STDEV(G486:G488)/G490</f>
        <v>0.49191051080321541</v>
      </c>
      <c r="G500" s="124" t="s">
        <v>449</v>
      </c>
      <c r="L500" s="98"/>
      <c r="BG500" s="130" t="s">
        <v>12</v>
      </c>
      <c r="BH500" s="123">
        <f>BH495/BH487</f>
        <v>1.0070887728958009</v>
      </c>
      <c r="BI500" s="123" t="s">
        <v>163</v>
      </c>
      <c r="BJ500" s="123">
        <f>BI495/BI487</f>
        <v>1.0071927572486716</v>
      </c>
      <c r="BK500" s="124" t="s">
        <v>255</v>
      </c>
      <c r="BL500" s="123"/>
      <c r="BM500" s="123"/>
      <c r="BN500" s="123"/>
      <c r="BO500" s="123"/>
      <c r="BP500" s="124" t="s">
        <v>396</v>
      </c>
      <c r="BQ500" s="123"/>
      <c r="BR500" s="98"/>
    </row>
    <row r="501" spans="1:70">
      <c r="A501" s="130" t="s">
        <v>14</v>
      </c>
      <c r="B501" s="123">
        <f t="shared" si="919"/>
        <v>1.0457622484986413</v>
      </c>
      <c r="C501" s="123" t="s">
        <v>165</v>
      </c>
      <c r="D501" s="123">
        <f t="shared" si="920"/>
        <v>1.1236876781391885</v>
      </c>
      <c r="G501" s="124" t="s">
        <v>438</v>
      </c>
      <c r="L501" s="98"/>
      <c r="BG501" s="130" t="s">
        <v>13</v>
      </c>
      <c r="BH501" s="123">
        <f t="shared" ref="BH501:BH502" si="921">BH496/BH488</f>
        <v>1.0072659114499714</v>
      </c>
      <c r="BI501" s="123" t="s">
        <v>164</v>
      </c>
      <c r="BJ501" s="123">
        <f t="shared" ref="BJ501:BJ502" si="922">BI496/BI488</f>
        <v>1.0071930831928411</v>
      </c>
      <c r="BK501" s="123">
        <f>VAR(BM487:BM489)</f>
        <v>1.3065794944675559</v>
      </c>
      <c r="BL501" s="124">
        <f>STDEV(BM487:BM489)/BM491</f>
        <v>0.12457617075421043</v>
      </c>
      <c r="BM501" s="124" t="s">
        <v>449</v>
      </c>
      <c r="BN501" s="123"/>
      <c r="BO501" s="123"/>
      <c r="BP501" s="123"/>
      <c r="BQ501" s="123"/>
      <c r="BR501" s="98"/>
    </row>
    <row r="502" spans="1:70">
      <c r="A502" s="130" t="s">
        <v>15</v>
      </c>
      <c r="B502" s="123">
        <f>E494/E486</f>
        <v>1.0453672959600793</v>
      </c>
      <c r="C502" s="123" t="s">
        <v>67</v>
      </c>
      <c r="D502" s="123">
        <f>E495/E487</f>
        <v>1.1221361135806134</v>
      </c>
      <c r="E502" s="124" t="s">
        <v>256</v>
      </c>
      <c r="L502" s="98"/>
      <c r="BG502" s="130" t="s">
        <v>14</v>
      </c>
      <c r="BH502" s="123">
        <f t="shared" si="921"/>
        <v>1.0060530331095887</v>
      </c>
      <c r="BI502" s="123" t="s">
        <v>165</v>
      </c>
      <c r="BJ502" s="123">
        <f t="shared" si="922"/>
        <v>1.0071918315000248</v>
      </c>
      <c r="BK502" s="123"/>
      <c r="BL502" s="123"/>
      <c r="BM502" s="124" t="s">
        <v>438</v>
      </c>
      <c r="BN502" s="123"/>
      <c r="BO502" s="123"/>
      <c r="BP502" s="123"/>
      <c r="BQ502" s="123"/>
      <c r="BR502" s="98"/>
    </row>
    <row r="503" spans="1:70">
      <c r="A503" s="130" t="s">
        <v>170</v>
      </c>
      <c r="B503" s="123">
        <f>VAR(B499:B501)</f>
        <v>4.6804004724598696E-6</v>
      </c>
      <c r="C503" s="123" t="s">
        <v>170</v>
      </c>
      <c r="D503" s="123">
        <f>VAR(D499:D501)</f>
        <v>3.7641597336982811E-6</v>
      </c>
      <c r="E503" s="123">
        <f>VAR(G494:G496)</f>
        <v>0.56848311094589965</v>
      </c>
      <c r="F503" s="124">
        <f>STDEV(G494:G496)/G498</f>
        <v>0.4890468742212602</v>
      </c>
      <c r="G503" s="124" t="s">
        <v>449</v>
      </c>
      <c r="L503" s="98"/>
      <c r="BG503" s="130" t="s">
        <v>15</v>
      </c>
      <c r="BH503" s="123">
        <f>BK495/BK487</f>
        <v>1.0070771314112748</v>
      </c>
      <c r="BI503" s="123" t="s">
        <v>67</v>
      </c>
      <c r="BJ503" s="123">
        <f>BK496/BK488</f>
        <v>1.0071922612415953</v>
      </c>
      <c r="BK503" s="124" t="s">
        <v>256</v>
      </c>
      <c r="BL503" s="123"/>
      <c r="BM503" s="123"/>
      <c r="BN503" s="123"/>
      <c r="BO503" s="123"/>
      <c r="BP503" s="123"/>
      <c r="BQ503" s="123"/>
      <c r="BR503" s="98"/>
    </row>
    <row r="504" spans="1:70">
      <c r="A504" s="130"/>
      <c r="G504" s="124" t="s">
        <v>438</v>
      </c>
      <c r="L504" s="98"/>
      <c r="BG504" s="130" t="s">
        <v>170</v>
      </c>
      <c r="BH504" s="123">
        <f>VAR(BH500:BH502)</f>
        <v>4.2920147344763494E-7</v>
      </c>
      <c r="BI504" s="123" t="s">
        <v>170</v>
      </c>
      <c r="BJ504" s="123">
        <f>VAR(BJ500:BJ502)</f>
        <v>4.2166417751205965E-13</v>
      </c>
      <c r="BK504" s="123">
        <f>VAR(BM495:BM497)</f>
        <v>1.3181115362566089</v>
      </c>
      <c r="BL504" s="124">
        <f>STDEV(BM495:BM497)/BM499</f>
        <v>0.12516650459517906</v>
      </c>
      <c r="BM504" s="124" t="s">
        <v>449</v>
      </c>
      <c r="BN504" s="123"/>
      <c r="BO504" s="123"/>
      <c r="BP504" s="123"/>
      <c r="BQ504" s="123"/>
      <c r="BR504" s="98"/>
    </row>
    <row r="505" spans="1:70">
      <c r="A505" s="130"/>
      <c r="D505" s="123" t="s">
        <v>444</v>
      </c>
      <c r="L505" s="98"/>
      <c r="BG505" s="130"/>
      <c r="BH505" s="123"/>
      <c r="BI505" s="123"/>
      <c r="BJ505" s="123"/>
      <c r="BK505" s="123"/>
      <c r="BL505" s="123"/>
      <c r="BM505" s="124" t="s">
        <v>438</v>
      </c>
      <c r="BN505" s="123"/>
      <c r="BO505" s="123"/>
      <c r="BP505" s="123"/>
      <c r="BQ505" s="123"/>
      <c r="BR505" s="98"/>
    </row>
    <row r="506" spans="1:70">
      <c r="A506" s="130"/>
      <c r="B506" s="123">
        <f>B499</f>
        <v>1.0472435195326761</v>
      </c>
      <c r="D506" s="123">
        <f>ABS(C494-B495)/C494</f>
        <v>0.12598461552668258</v>
      </c>
      <c r="E506" s="123" t="s">
        <v>446</v>
      </c>
      <c r="L506" s="98"/>
      <c r="BG506" s="130"/>
      <c r="BH506" s="123"/>
      <c r="BI506" s="123"/>
      <c r="BJ506" s="123" t="s">
        <v>444</v>
      </c>
      <c r="BK506" s="123"/>
      <c r="BL506" s="123"/>
      <c r="BM506" s="123"/>
      <c r="BN506" s="123"/>
      <c r="BO506" s="123"/>
      <c r="BP506" s="123"/>
      <c r="BQ506" s="123"/>
      <c r="BR506" s="98"/>
    </row>
    <row r="507" spans="1:70">
      <c r="A507" s="130"/>
      <c r="B507" s="123">
        <f t="shared" ref="B507:B508" si="923">B500</f>
        <v>1.0429821485086692</v>
      </c>
      <c r="D507" s="123">
        <f>ABS((C486-B487)/C486)</f>
        <v>0.20958822330445642</v>
      </c>
      <c r="E507" s="123" t="s">
        <v>445</v>
      </c>
      <c r="L507" s="98"/>
      <c r="BG507" s="130"/>
      <c r="BH507" s="123">
        <f>BH500</f>
        <v>1.0070887728958009</v>
      </c>
      <c r="BI507" s="123"/>
      <c r="BJ507" s="123">
        <f>ABS(BI495-BH496)/BI495</f>
        <v>6.8185635111683643E-3</v>
      </c>
      <c r="BK507" s="123" t="s">
        <v>446</v>
      </c>
      <c r="BL507" s="123"/>
      <c r="BM507" s="123"/>
      <c r="BN507" s="123"/>
      <c r="BO507" s="123"/>
      <c r="BP507" s="123"/>
      <c r="BQ507" s="123"/>
      <c r="BR507" s="98"/>
    </row>
    <row r="508" spans="1:70">
      <c r="A508" s="130"/>
      <c r="B508" s="123">
        <f t="shared" si="923"/>
        <v>1.0457622484986413</v>
      </c>
      <c r="L508" s="98"/>
      <c r="BG508" s="130"/>
      <c r="BH508" s="123">
        <f t="shared" ref="BH508:BH509" si="924">BH501</f>
        <v>1.0072659114499714</v>
      </c>
      <c r="BI508" s="123"/>
      <c r="BJ508" s="123">
        <f>ABS((BI487-BH488)/BI487)</f>
        <v>6.7454417991853251E-3</v>
      </c>
      <c r="BK508" s="123" t="s">
        <v>445</v>
      </c>
      <c r="BL508" s="123"/>
      <c r="BM508" s="123"/>
      <c r="BN508" s="123"/>
      <c r="BO508" s="123"/>
      <c r="BP508" s="123"/>
      <c r="BQ508" s="123"/>
      <c r="BR508" s="98"/>
    </row>
    <row r="509" spans="1:70">
      <c r="A509" s="130"/>
      <c r="B509" s="123">
        <f>D499</f>
        <v>1.1204228783914234</v>
      </c>
      <c r="L509" s="98"/>
      <c r="BG509" s="130"/>
      <c r="BH509" s="123">
        <f t="shared" si="924"/>
        <v>1.0060530331095887</v>
      </c>
      <c r="BI509" s="123"/>
      <c r="BJ509" s="123"/>
      <c r="BK509" s="123"/>
      <c r="BL509" s="123"/>
      <c r="BM509" s="123"/>
      <c r="BN509" s="123"/>
      <c r="BO509" s="123"/>
      <c r="BP509" s="123"/>
      <c r="BQ509" s="123"/>
      <c r="BR509" s="98"/>
    </row>
    <row r="510" spans="1:70">
      <c r="A510" s="130"/>
      <c r="B510" s="123">
        <f t="shared" ref="B510:B511" si="925">D500</f>
        <v>1.1238713980731214</v>
      </c>
      <c r="L510" s="98"/>
      <c r="BG510" s="130"/>
      <c r="BH510" s="123">
        <f>BJ500</f>
        <v>1.0071927572486716</v>
      </c>
      <c r="BI510" s="123"/>
      <c r="BJ510" s="123"/>
      <c r="BK510" s="123"/>
      <c r="BL510" s="123"/>
      <c r="BM510" s="123"/>
      <c r="BN510" s="123"/>
      <c r="BO510" s="123"/>
      <c r="BP510" s="123"/>
      <c r="BQ510" s="123"/>
      <c r="BR510" s="98"/>
    </row>
    <row r="511" spans="1:70">
      <c r="A511" s="130"/>
      <c r="B511" s="123">
        <f t="shared" si="925"/>
        <v>1.1236876781391885</v>
      </c>
      <c r="L511" s="98"/>
      <c r="BG511" s="130"/>
      <c r="BH511" s="123">
        <f t="shared" ref="BH511:BH512" si="926">BJ501</f>
        <v>1.0071930831928411</v>
      </c>
      <c r="BI511" s="123"/>
      <c r="BJ511" s="123"/>
      <c r="BK511" s="123"/>
      <c r="BL511" s="123"/>
      <c r="BM511" s="123"/>
      <c r="BN511" s="123"/>
      <c r="BO511" s="123"/>
      <c r="BP511" s="123"/>
      <c r="BQ511" s="123"/>
      <c r="BR511" s="98"/>
    </row>
    <row r="512" spans="1:70" ht="15.75" thickBot="1">
      <c r="A512" s="131" t="s">
        <v>170</v>
      </c>
      <c r="B512" s="126">
        <f>VAR(B506:B511)</f>
        <v>1.7974189473202173E-3</v>
      </c>
      <c r="C512" s="126"/>
      <c r="D512" s="126"/>
      <c r="E512" s="126"/>
      <c r="F512" s="126"/>
      <c r="G512" s="126"/>
      <c r="H512" s="126"/>
      <c r="I512" s="126"/>
      <c r="J512" s="126"/>
      <c r="K512" s="126"/>
      <c r="L512" s="127"/>
      <c r="BG512" s="130"/>
      <c r="BH512" s="123">
        <f t="shared" si="926"/>
        <v>1.0071918315000248</v>
      </c>
      <c r="BI512" s="123"/>
      <c r="BJ512" s="123"/>
      <c r="BK512" s="123"/>
      <c r="BL512" s="123"/>
      <c r="BM512" s="123"/>
      <c r="BN512" s="123"/>
      <c r="BO512" s="123"/>
      <c r="BP512" s="123"/>
      <c r="BQ512" s="123"/>
      <c r="BR512" s="98"/>
    </row>
    <row r="513" spans="1:70" ht="16.5" thickTop="1" thickBot="1">
      <c r="A513" s="128"/>
      <c r="B513" s="121"/>
      <c r="C513" s="121"/>
      <c r="D513" s="121"/>
      <c r="E513" s="121"/>
      <c r="F513" s="133" t="s">
        <v>239</v>
      </c>
      <c r="G513" s="121"/>
      <c r="H513" s="121"/>
      <c r="I513" s="129" t="s">
        <v>229</v>
      </c>
      <c r="J513" s="121"/>
      <c r="K513" s="121"/>
      <c r="L513" s="122"/>
      <c r="BG513" s="131" t="s">
        <v>170</v>
      </c>
      <c r="BH513" s="126">
        <f>VAR(BH507:BH512)</f>
        <v>2.1730720803554353E-7</v>
      </c>
      <c r="BI513" s="126"/>
      <c r="BJ513" s="126"/>
      <c r="BK513" s="126"/>
      <c r="BL513" s="126"/>
      <c r="BM513" s="126"/>
      <c r="BN513" s="126"/>
      <c r="BO513" s="126"/>
      <c r="BP513" s="126"/>
      <c r="BQ513" s="126"/>
      <c r="BR513" s="127"/>
    </row>
    <row r="514" spans="1:70" ht="16.5" thickTop="1" thickBot="1">
      <c r="A514" s="130" t="s">
        <v>167</v>
      </c>
      <c r="H514" s="123" t="s">
        <v>168</v>
      </c>
      <c r="L514" s="98"/>
      <c r="BG514" s="128"/>
      <c r="BH514" s="121"/>
      <c r="BI514" s="121"/>
      <c r="BJ514" s="121"/>
      <c r="BK514" s="121"/>
      <c r="BL514" s="133" t="s">
        <v>239</v>
      </c>
      <c r="BM514" s="121"/>
      <c r="BN514" s="121"/>
      <c r="BO514" s="129" t="s">
        <v>418</v>
      </c>
      <c r="BP514" s="121"/>
      <c r="BQ514" s="121"/>
      <c r="BR514" s="122"/>
    </row>
    <row r="515" spans="1:70" ht="16.5" thickTop="1" thickBot="1">
      <c r="A515" s="1"/>
      <c r="B515" s="2" t="s">
        <v>0</v>
      </c>
      <c r="C515" s="2" t="s">
        <v>1</v>
      </c>
      <c r="D515" s="2" t="s">
        <v>2</v>
      </c>
      <c r="E515" s="3" t="s">
        <v>6</v>
      </c>
      <c r="F515" s="103" t="s">
        <v>70</v>
      </c>
      <c r="G515" s="103" t="s">
        <v>172</v>
      </c>
      <c r="H515" s="123" t="s">
        <v>3</v>
      </c>
      <c r="I515" s="123">
        <v>6</v>
      </c>
      <c r="K515" s="123" t="s">
        <v>19</v>
      </c>
      <c r="L515" s="98">
        <v>0.55081400000000003</v>
      </c>
      <c r="BG515" s="130" t="s">
        <v>167</v>
      </c>
      <c r="BH515" s="123"/>
      <c r="BI515" s="123"/>
      <c r="BJ515" s="123"/>
      <c r="BK515" s="123"/>
      <c r="BL515" s="123"/>
      <c r="BM515" s="123"/>
      <c r="BN515" s="123" t="s">
        <v>168</v>
      </c>
      <c r="BO515" s="123"/>
      <c r="BP515" s="123"/>
      <c r="BQ515" s="123"/>
      <c r="BR515" s="98"/>
    </row>
    <row r="516" spans="1:70" ht="15.75" thickTop="1">
      <c r="A516" s="4" t="s">
        <v>3</v>
      </c>
      <c r="B516" s="100">
        <v>125.1</v>
      </c>
      <c r="C516" s="5">
        <v>110.449</v>
      </c>
      <c r="D516" s="5">
        <v>149.499</v>
      </c>
      <c r="E516" s="104">
        <f>SUM(B516:D516)</f>
        <v>385.048</v>
      </c>
      <c r="F516" s="123">
        <f>D516/C516</f>
        <v>1.3535568452407898</v>
      </c>
      <c r="G516" s="123">
        <f>B516/C516</f>
        <v>1.1326494581209428</v>
      </c>
      <c r="H516" s="123" t="s">
        <v>4</v>
      </c>
      <c r="I516" s="123">
        <v>12</v>
      </c>
      <c r="L516" s="98"/>
      <c r="BG516" s="1"/>
      <c r="BH516" s="2" t="s">
        <v>0</v>
      </c>
      <c r="BI516" s="2" t="s">
        <v>1</v>
      </c>
      <c r="BJ516" s="2" t="s">
        <v>2</v>
      </c>
      <c r="BK516" s="3" t="s">
        <v>6</v>
      </c>
      <c r="BL516" s="103" t="s">
        <v>70</v>
      </c>
      <c r="BM516" s="103" t="s">
        <v>172</v>
      </c>
      <c r="BN516" s="123" t="s">
        <v>3</v>
      </c>
      <c r="BO516" s="123">
        <v>30</v>
      </c>
      <c r="BP516" s="123"/>
      <c r="BQ516" s="123" t="s">
        <v>19</v>
      </c>
      <c r="BR516" s="123">
        <v>2.0391699999999999E-3</v>
      </c>
    </row>
    <row r="517" spans="1:70">
      <c r="A517" s="4" t="s">
        <v>4</v>
      </c>
      <c r="B517" s="5">
        <v>131.91</v>
      </c>
      <c r="C517" s="5">
        <v>64.642799999999994</v>
      </c>
      <c r="D517" s="5">
        <v>87.497799999999998</v>
      </c>
      <c r="E517" s="106">
        <f t="shared" ref="E517:E519" si="927">SUM(B517:D517)</f>
        <v>284.05059999999997</v>
      </c>
      <c r="F517" s="123">
        <f t="shared" ref="F517:F519" si="928">D517/C517</f>
        <v>1.3535583235874684</v>
      </c>
      <c r="G517" s="123">
        <f t="shared" ref="G517:G519" si="929">B517/C517</f>
        <v>2.0405984889268414</v>
      </c>
      <c r="H517" s="123" t="s">
        <v>5</v>
      </c>
      <c r="I517" s="123">
        <v>4</v>
      </c>
      <c r="L517" s="98"/>
      <c r="BG517" s="4" t="s">
        <v>3</v>
      </c>
      <c r="BH517" s="100">
        <f>2.82714*10^8</f>
        <v>282714000</v>
      </c>
      <c r="BI517" s="5">
        <f>2.18123*10^6</f>
        <v>2181230</v>
      </c>
      <c r="BJ517" s="5">
        <v>583816</v>
      </c>
      <c r="BK517" s="104">
        <f>SUM(BH517:BJ517)</f>
        <v>285479046</v>
      </c>
      <c r="BL517" s="123">
        <f>BJ517/BI517</f>
        <v>0.26765448852253088</v>
      </c>
      <c r="BM517" s="123">
        <f>BH517/BI517</f>
        <v>129.61219128656768</v>
      </c>
      <c r="BN517" s="123" t="s">
        <v>4</v>
      </c>
      <c r="BO517" s="123">
        <v>60</v>
      </c>
      <c r="BP517" s="123"/>
      <c r="BQ517" s="123"/>
      <c r="BR517" s="98"/>
    </row>
    <row r="518" spans="1:70">
      <c r="A518" s="4" t="s">
        <v>5</v>
      </c>
      <c r="B518" s="5">
        <v>128.03800000000001</v>
      </c>
      <c r="C518" s="5">
        <v>108.959</v>
      </c>
      <c r="D518" s="5">
        <v>147.482</v>
      </c>
      <c r="E518" s="108">
        <f t="shared" si="927"/>
        <v>384.47900000000004</v>
      </c>
      <c r="F518" s="123">
        <f t="shared" si="928"/>
        <v>1.3535550069292119</v>
      </c>
      <c r="G518" s="123">
        <f t="shared" si="929"/>
        <v>1.1751025615139641</v>
      </c>
      <c r="L518" s="98"/>
      <c r="BG518" s="4" t="s">
        <v>4</v>
      </c>
      <c r="BH518" s="5">
        <f>2.18169*10^6</f>
        <v>2181690</v>
      </c>
      <c r="BI518" s="5">
        <v>5948.15</v>
      </c>
      <c r="BJ518" s="5">
        <v>1592.05</v>
      </c>
      <c r="BK518" s="106">
        <f t="shared" ref="BK518:BK520" si="930">SUM(BH518:BJ518)</f>
        <v>2189230.1999999997</v>
      </c>
      <c r="BL518" s="123">
        <f t="shared" ref="BL518:BL520" si="931">BJ518/BI518</f>
        <v>0.26765464892445551</v>
      </c>
      <c r="BM518" s="123">
        <f t="shared" ref="BM518:BM520" si="932">BH518/BI518</f>
        <v>366.78463051537034</v>
      </c>
      <c r="BN518" s="123" t="s">
        <v>5</v>
      </c>
      <c r="BO518" s="123">
        <v>25</v>
      </c>
      <c r="BP518" s="123"/>
      <c r="BQ518" s="123"/>
      <c r="BR518" s="98"/>
    </row>
    <row r="519" spans="1:70" ht="15.75" thickBot="1">
      <c r="A519" s="7"/>
      <c r="B519" s="105">
        <f>SUM(B516:B518)</f>
        <v>385.048</v>
      </c>
      <c r="C519" s="107">
        <f>SUM(C516:C518)</f>
        <v>284.05079999999998</v>
      </c>
      <c r="D519" s="109">
        <f>SUM(D516:D518)</f>
        <v>384.47879999999998</v>
      </c>
      <c r="E519" s="101">
        <f t="shared" si="927"/>
        <v>1053.5776000000001</v>
      </c>
      <c r="F519" s="123">
        <f t="shared" si="928"/>
        <v>1.3535564765175807</v>
      </c>
      <c r="G519" s="123">
        <f t="shared" si="929"/>
        <v>1.3555603434315271</v>
      </c>
      <c r="L519" s="98"/>
      <c r="BG519" s="4" t="s">
        <v>5</v>
      </c>
      <c r="BH519" s="5">
        <v>583354</v>
      </c>
      <c r="BI519" s="5">
        <v>2054.2600000000002</v>
      </c>
      <c r="BJ519" s="5">
        <v>549.83100000000002</v>
      </c>
      <c r="BK519" s="108">
        <f t="shared" si="930"/>
        <v>585958.09100000001</v>
      </c>
      <c r="BL519" s="123">
        <f t="shared" si="931"/>
        <v>0.26765404573909823</v>
      </c>
      <c r="BM519" s="123">
        <f t="shared" si="932"/>
        <v>283.97281746224917</v>
      </c>
      <c r="BN519" s="123"/>
      <c r="BO519" s="123"/>
      <c r="BP519" s="123"/>
      <c r="BQ519" s="123"/>
      <c r="BR519" s="98"/>
    </row>
    <row r="520" spans="1:70" ht="16.5" thickTop="1" thickBot="1">
      <c r="A520" s="130"/>
      <c r="F520" s="124" t="s">
        <v>420</v>
      </c>
      <c r="G520" s="103">
        <f>AVERAGE(G516:G518)</f>
        <v>1.4494501695205828</v>
      </c>
      <c r="L520" s="98"/>
      <c r="BG520" s="7"/>
      <c r="BH520" s="105">
        <f>SUM(BH517:BH519)</f>
        <v>285479044</v>
      </c>
      <c r="BI520" s="107">
        <f>SUM(BI517:BI519)</f>
        <v>2189232.4099999997</v>
      </c>
      <c r="BJ520" s="109">
        <f>SUM(BJ517:BJ519)</f>
        <v>585957.88100000005</v>
      </c>
      <c r="BK520" s="101">
        <f t="shared" si="930"/>
        <v>288254234.29100001</v>
      </c>
      <c r="BL520" s="123">
        <f t="shared" si="931"/>
        <v>0.26765448854285878</v>
      </c>
      <c r="BM520" s="123">
        <f t="shared" si="932"/>
        <v>130.40143325851824</v>
      </c>
      <c r="BN520" s="123"/>
      <c r="BO520" s="123"/>
      <c r="BP520" s="123"/>
      <c r="BQ520" s="123"/>
      <c r="BR520" s="98"/>
    </row>
    <row r="521" spans="1:70" ht="15.75" thickTop="1">
      <c r="A521" s="130"/>
      <c r="L521" s="98"/>
      <c r="BG521" s="130"/>
      <c r="BH521" s="123"/>
      <c r="BI521" s="123"/>
      <c r="BJ521" s="123"/>
      <c r="BK521" s="123"/>
      <c r="BL521" s="124" t="s">
        <v>420</v>
      </c>
      <c r="BM521" s="103">
        <f>AVERAGE(BM517:BM519)</f>
        <v>260.12321308806241</v>
      </c>
      <c r="BN521" s="123"/>
      <c r="BO521" s="123"/>
      <c r="BP521" s="123"/>
      <c r="BQ521" s="123"/>
      <c r="BR521" s="98"/>
    </row>
    <row r="522" spans="1:70" ht="15.75" thickBot="1">
      <c r="A522" s="140" t="s">
        <v>254</v>
      </c>
      <c r="J522" s="124" t="s">
        <v>218</v>
      </c>
      <c r="L522" s="98"/>
      <c r="BG522" s="130"/>
      <c r="BH522" s="123"/>
      <c r="BI522" s="123"/>
      <c r="BJ522" s="123"/>
      <c r="BK522" s="123"/>
      <c r="BL522" s="123"/>
      <c r="BM522" s="123"/>
      <c r="BN522" s="123"/>
      <c r="BO522" s="123"/>
      <c r="BP522" s="123" t="s">
        <v>419</v>
      </c>
      <c r="BQ522" s="123">
        <v>0.5</v>
      </c>
      <c r="BR522" s="98"/>
    </row>
    <row r="523" spans="1:70" ht="16.5" thickTop="1" thickBot="1">
      <c r="A523" s="1"/>
      <c r="B523" s="2" t="s">
        <v>8</v>
      </c>
      <c r="C523" s="2" t="s">
        <v>9</v>
      </c>
      <c r="D523" s="2" t="s">
        <v>10</v>
      </c>
      <c r="E523" s="3" t="s">
        <v>11</v>
      </c>
      <c r="F523" s="103" t="s">
        <v>16</v>
      </c>
      <c r="G523" s="103" t="s">
        <v>172</v>
      </c>
      <c r="H523" s="124" t="s">
        <v>171</v>
      </c>
      <c r="J523" s="123">
        <v>0.12</v>
      </c>
      <c r="K523" s="103" t="s">
        <v>212</v>
      </c>
      <c r="L523" s="98"/>
      <c r="BG523" s="140" t="s">
        <v>254</v>
      </c>
      <c r="BH523" s="123"/>
      <c r="BI523" s="123"/>
      <c r="BJ523" s="123"/>
      <c r="BK523" s="123"/>
      <c r="BL523" s="123"/>
      <c r="BM523" s="123"/>
      <c r="BN523" s="123"/>
      <c r="BO523" s="123"/>
      <c r="BP523" s="124" t="s">
        <v>218</v>
      </c>
      <c r="BQ523" s="123"/>
      <c r="BR523" s="98"/>
    </row>
    <row r="524" spans="1:70" ht="15.75" thickTop="1">
      <c r="A524" s="4" t="s">
        <v>3</v>
      </c>
      <c r="B524" s="100">
        <v>125.161</v>
      </c>
      <c r="C524" s="5">
        <v>122.142</v>
      </c>
      <c r="D524" s="5">
        <v>136.21799999999999</v>
      </c>
      <c r="E524" s="110">
        <f>SUM(B524:D524)</f>
        <v>383.52099999999996</v>
      </c>
      <c r="F524" s="123">
        <f>D524/(B524+C524)</f>
        <v>0.55081418341063393</v>
      </c>
      <c r="G524" s="123">
        <f>B524/C524</f>
        <v>1.024717132517889</v>
      </c>
      <c r="H524" s="125">
        <f>ABS((E527-E519)/E519)</f>
        <v>2.7447907017005668E-2</v>
      </c>
      <c r="J524" s="123">
        <f>J523</f>
        <v>0.12</v>
      </c>
      <c r="K524" s="123" t="s">
        <v>213</v>
      </c>
      <c r="L524" s="98"/>
      <c r="BG524" s="1"/>
      <c r="BH524" s="2" t="s">
        <v>8</v>
      </c>
      <c r="BI524" s="2" t="s">
        <v>9</v>
      </c>
      <c r="BJ524" s="2" t="s">
        <v>10</v>
      </c>
      <c r="BK524" s="3" t="s">
        <v>11</v>
      </c>
      <c r="BL524" s="103" t="s">
        <v>16</v>
      </c>
      <c r="BM524" s="103" t="s">
        <v>172</v>
      </c>
      <c r="BN524" s="124" t="s">
        <v>171</v>
      </c>
      <c r="BO524" s="123"/>
      <c r="BP524" s="123">
        <f>0.13*0.5</f>
        <v>6.5000000000000002E-2</v>
      </c>
      <c r="BQ524" s="103" t="s">
        <v>212</v>
      </c>
      <c r="BR524" s="98"/>
    </row>
    <row r="525" spans="1:70">
      <c r="A525" s="4" t="s">
        <v>4</v>
      </c>
      <c r="B525" s="5">
        <v>131.32400000000001</v>
      </c>
      <c r="C525" s="5">
        <v>71.471100000000007</v>
      </c>
      <c r="D525" s="5">
        <v>111.702</v>
      </c>
      <c r="E525" s="112">
        <f t="shared" ref="E525:E526" si="933">SUM(B525:D525)</f>
        <v>314.49710000000005</v>
      </c>
      <c r="F525" s="123">
        <f t="shared" ref="F525:F527" si="934">D525/(B525+C525)</f>
        <v>0.55081212514503552</v>
      </c>
      <c r="G525" s="123">
        <f t="shared" ref="G525:G527" si="935">B525/C525</f>
        <v>1.8374419870409158</v>
      </c>
      <c r="J525" s="123">
        <f>J523*0.5</f>
        <v>0.06</v>
      </c>
      <c r="K525" s="123" t="s">
        <v>214</v>
      </c>
      <c r="L525" s="98"/>
      <c r="BG525" s="4" t="s">
        <v>3</v>
      </c>
      <c r="BH525" s="100">
        <f>2.82399*10^8</f>
        <v>282399000</v>
      </c>
      <c r="BI525" s="5">
        <f>2.18166*10^6</f>
        <v>2181660</v>
      </c>
      <c r="BJ525" s="5">
        <v>580309</v>
      </c>
      <c r="BK525" s="110">
        <f>SUM(BH525:BJ525)</f>
        <v>285160969</v>
      </c>
      <c r="BL525" s="123">
        <f>BJ525/(BH525+BI525)</f>
        <v>2.0391723035571006E-3</v>
      </c>
      <c r="BM525" s="123">
        <f>BH525/BI525</f>
        <v>129.44225956381837</v>
      </c>
      <c r="BN525" s="125">
        <f>ABS((BK528-BK520)/BK520)</f>
        <v>1.1019503036312499E-3</v>
      </c>
      <c r="BO525" s="123"/>
      <c r="BP525" s="123">
        <f>0.307*0.5</f>
        <v>0.1535</v>
      </c>
      <c r="BQ525" s="123" t="s">
        <v>213</v>
      </c>
      <c r="BR525" s="98"/>
    </row>
    <row r="526" spans="1:70">
      <c r="A526" s="4" t="s">
        <v>5</v>
      </c>
      <c r="B526" s="5">
        <v>127.03700000000001</v>
      </c>
      <c r="C526" s="5">
        <v>120.883</v>
      </c>
      <c r="D526" s="5">
        <v>136.55799999999999</v>
      </c>
      <c r="E526" s="108">
        <f t="shared" si="933"/>
        <v>384.47800000000001</v>
      </c>
      <c r="F526" s="123">
        <f t="shared" si="934"/>
        <v>0.5508147789609551</v>
      </c>
      <c r="G526" s="123">
        <f t="shared" si="935"/>
        <v>1.0509087299289397</v>
      </c>
      <c r="J526" s="103">
        <f>J525</f>
        <v>0.06</v>
      </c>
      <c r="K526" s="103" t="s">
        <v>215</v>
      </c>
      <c r="L526" s="98"/>
      <c r="BG526" s="4" t="s">
        <v>4</v>
      </c>
      <c r="BH526" s="5">
        <f>2.17926*10^6</f>
        <v>2179260</v>
      </c>
      <c r="BI526" s="5">
        <v>5949.33</v>
      </c>
      <c r="BJ526" s="5">
        <v>4456.0200000000004</v>
      </c>
      <c r="BK526" s="112">
        <f t="shared" ref="BK526:BK527" si="936">SUM(BH526:BJ526)</f>
        <v>2189665.35</v>
      </c>
      <c r="BL526" s="123">
        <f t="shared" ref="BL526:BL528" si="937">BJ526/(BH526+BI526)</f>
        <v>2.0391730617404973E-3</v>
      </c>
      <c r="BM526" s="123">
        <f t="shared" ref="BM526:BM528" si="938">BH526/BI526</f>
        <v>366.30343248735574</v>
      </c>
      <c r="BN526" s="123"/>
      <c r="BO526" s="123"/>
      <c r="BP526" s="123">
        <f>0.23*0.5</f>
        <v>0.115</v>
      </c>
      <c r="BQ526" s="123" t="s">
        <v>214</v>
      </c>
      <c r="BR526" s="98"/>
    </row>
    <row r="527" spans="1:70" ht="15.75" thickBot="1">
      <c r="A527" s="7"/>
      <c r="B527" s="111">
        <f>SUM(B524:B526)</f>
        <v>383.52200000000005</v>
      </c>
      <c r="C527" s="113">
        <f t="shared" ref="C527:D527" si="939">SUM(C524:C526)</f>
        <v>314.49610000000001</v>
      </c>
      <c r="D527" s="109">
        <f t="shared" si="939"/>
        <v>384.47799999999995</v>
      </c>
      <c r="E527" s="102">
        <f>SUM(E524:E526)</f>
        <v>1082.4961000000001</v>
      </c>
      <c r="F527" s="123">
        <f t="shared" si="934"/>
        <v>0.55081379694881827</v>
      </c>
      <c r="G527" s="123">
        <f t="shared" si="935"/>
        <v>1.2194809410991108</v>
      </c>
      <c r="J527" s="103">
        <f>J523*0.3</f>
        <v>3.5999999999999997E-2</v>
      </c>
      <c r="K527" s="103" t="s">
        <v>216</v>
      </c>
      <c r="L527" s="98"/>
      <c r="BG527" s="4" t="s">
        <v>5</v>
      </c>
      <c r="BH527" s="5">
        <v>582711</v>
      </c>
      <c r="BI527" s="5">
        <v>2054.66</v>
      </c>
      <c r="BJ527" s="5">
        <v>1192.44</v>
      </c>
      <c r="BK527" s="108">
        <f t="shared" si="936"/>
        <v>585958.1</v>
      </c>
      <c r="BL527" s="123">
        <f t="shared" si="937"/>
        <v>2.0391758298529362E-3</v>
      </c>
      <c r="BM527" s="123">
        <f t="shared" si="938"/>
        <v>283.6045866469392</v>
      </c>
      <c r="BN527" s="123"/>
      <c r="BO527" s="123" t="s">
        <v>397</v>
      </c>
      <c r="BP527" s="123"/>
      <c r="BQ527" s="103" t="s">
        <v>215</v>
      </c>
      <c r="BR527" s="98"/>
    </row>
    <row r="528" spans="1:70" ht="16.5" thickTop="1" thickBot="1">
      <c r="A528" s="130"/>
      <c r="F528" s="124" t="s">
        <v>420</v>
      </c>
      <c r="G528" s="103">
        <f>AVERAGE(G524:G526)</f>
        <v>1.3043559498292481</v>
      </c>
      <c r="J528" s="103">
        <f>J527</f>
        <v>3.5999999999999997E-2</v>
      </c>
      <c r="K528" s="103" t="s">
        <v>217</v>
      </c>
      <c r="L528" s="98"/>
      <c r="BG528" s="7"/>
      <c r="BH528" s="111">
        <f>SUM(BH525:BH527)</f>
        <v>285160971</v>
      </c>
      <c r="BI528" s="113">
        <f t="shared" ref="BI528:BJ528" si="940">SUM(BI525:BI527)</f>
        <v>2189663.9900000002</v>
      </c>
      <c r="BJ528" s="109">
        <f t="shared" si="940"/>
        <v>585957.46</v>
      </c>
      <c r="BK528" s="102">
        <f>SUM(BK525:BK527)</f>
        <v>287936592.45000005</v>
      </c>
      <c r="BL528" s="123">
        <f t="shared" si="937"/>
        <v>2.0391723164989409E-3</v>
      </c>
      <c r="BM528" s="123">
        <f t="shared" si="938"/>
        <v>130.23047020104667</v>
      </c>
      <c r="BN528" s="123"/>
      <c r="BO528" s="123" t="s">
        <v>398</v>
      </c>
      <c r="BP528" s="123"/>
      <c r="BQ528" s="103" t="s">
        <v>216</v>
      </c>
      <c r="BR528" s="98"/>
    </row>
    <row r="529" spans="1:70" ht="15.75" thickTop="1">
      <c r="A529" s="130" t="s">
        <v>12</v>
      </c>
      <c r="B529" s="123">
        <f>B524/B516</f>
        <v>1.0004876099120703</v>
      </c>
      <c r="C529" s="123" t="s">
        <v>163</v>
      </c>
      <c r="D529" s="123">
        <f>C524/C516</f>
        <v>1.1058678666171717</v>
      </c>
      <c r="E529" s="124" t="s">
        <v>255</v>
      </c>
      <c r="J529" s="139" t="s">
        <v>248</v>
      </c>
      <c r="L529" s="98"/>
      <c r="BG529" s="130"/>
      <c r="BH529" s="123"/>
      <c r="BI529" s="123"/>
      <c r="BJ529" s="123"/>
      <c r="BK529" s="123"/>
      <c r="BL529" s="124" t="s">
        <v>420</v>
      </c>
      <c r="BM529" s="103">
        <f>AVERAGE(BM525:BM527)</f>
        <v>259.78342623270441</v>
      </c>
      <c r="BN529" s="123"/>
      <c r="BO529" s="123" t="s">
        <v>399</v>
      </c>
      <c r="BP529" s="123"/>
      <c r="BQ529" s="103" t="s">
        <v>217</v>
      </c>
      <c r="BR529" s="98"/>
    </row>
    <row r="530" spans="1:70">
      <c r="A530" s="130" t="s">
        <v>13</v>
      </c>
      <c r="B530" s="123">
        <f t="shared" ref="B530:B531" si="941">B525/B517</f>
        <v>0.99555757713592608</v>
      </c>
      <c r="C530" s="123" t="s">
        <v>164</v>
      </c>
      <c r="D530" s="123">
        <f t="shared" ref="D530:D531" si="942">C525/C517</f>
        <v>1.1056312535966886</v>
      </c>
      <c r="E530" s="123">
        <f>VAR(G516:G518)</f>
        <v>0.26254281814955771</v>
      </c>
      <c r="F530" s="124">
        <f>STDEV(G516:G518)/G520</f>
        <v>0.35350599393069432</v>
      </c>
      <c r="G530" s="124" t="s">
        <v>449</v>
      </c>
      <c r="L530" s="98"/>
      <c r="BG530" s="130" t="s">
        <v>12</v>
      </c>
      <c r="BH530" s="123">
        <f>BH525/BH517</f>
        <v>0.99888579978352676</v>
      </c>
      <c r="BI530" s="123" t="s">
        <v>163</v>
      </c>
      <c r="BJ530" s="123">
        <f>BI525/BI517</f>
        <v>1.0001971364780422</v>
      </c>
      <c r="BK530" s="124" t="s">
        <v>255</v>
      </c>
      <c r="BL530" s="123"/>
      <c r="BM530" s="123"/>
      <c r="BN530" s="123"/>
      <c r="BO530" s="123"/>
      <c r="BP530" s="124" t="s">
        <v>423</v>
      </c>
      <c r="BQ530" s="123"/>
      <c r="BR530" s="98"/>
    </row>
    <row r="531" spans="1:70">
      <c r="A531" s="130" t="s">
        <v>14</v>
      </c>
      <c r="B531" s="123">
        <f t="shared" si="941"/>
        <v>0.9921820084662365</v>
      </c>
      <c r="C531" s="123" t="s">
        <v>165</v>
      </c>
      <c r="D531" s="123">
        <f t="shared" si="942"/>
        <v>1.109435659284685</v>
      </c>
      <c r="G531" s="124" t="s">
        <v>438</v>
      </c>
      <c r="L531" s="98"/>
      <c r="BG531" s="130" t="s">
        <v>13</v>
      </c>
      <c r="BH531" s="123">
        <f t="shared" ref="BH531:BH532" si="943">BH526/BH518</f>
        <v>0.9988861845633431</v>
      </c>
      <c r="BI531" s="123" t="s">
        <v>164</v>
      </c>
      <c r="BJ531" s="123">
        <f t="shared" ref="BJ531:BJ532" si="944">BI526/BI518</f>
        <v>1.0001983810092214</v>
      </c>
      <c r="BK531" s="123">
        <f>VAR(BM517:BM519)</f>
        <v>14489.294204038946</v>
      </c>
      <c r="BL531" s="124">
        <f>STDEV(BM517:BM519)/BM521</f>
        <v>0.4627479522201422</v>
      </c>
      <c r="BM531" s="124" t="s">
        <v>449</v>
      </c>
      <c r="BN531" s="123"/>
      <c r="BO531" s="123"/>
      <c r="BP531" s="123" t="s">
        <v>415</v>
      </c>
      <c r="BQ531" s="123"/>
      <c r="BR531" s="98"/>
    </row>
    <row r="532" spans="1:70">
      <c r="A532" s="130" t="s">
        <v>15</v>
      </c>
      <c r="B532" s="123">
        <f>E524/E516</f>
        <v>0.99603426066360545</v>
      </c>
      <c r="C532" s="123" t="s">
        <v>67</v>
      </c>
      <c r="D532" s="123">
        <f>E525/E517</f>
        <v>1.1071868885332405</v>
      </c>
      <c r="E532" s="124" t="s">
        <v>256</v>
      </c>
      <c r="L532" s="98"/>
      <c r="BG532" s="130" t="s">
        <v>14</v>
      </c>
      <c r="BH532" s="123">
        <f t="shared" si="943"/>
        <v>0.99889775333673891</v>
      </c>
      <c r="BI532" s="123" t="s">
        <v>165</v>
      </c>
      <c r="BJ532" s="123">
        <f t="shared" si="944"/>
        <v>1.0001947173191317</v>
      </c>
      <c r="BK532" s="123">
        <f>BK531/BM521</f>
        <v>55.701657810653458</v>
      </c>
      <c r="BL532" s="123"/>
      <c r="BM532" s="124" t="s">
        <v>438</v>
      </c>
      <c r="BN532" s="123"/>
      <c r="BO532" s="123"/>
      <c r="BP532" s="123" t="s">
        <v>403</v>
      </c>
      <c r="BQ532" s="123">
        <v>1</v>
      </c>
      <c r="BR532" s="98" t="s">
        <v>416</v>
      </c>
    </row>
    <row r="533" spans="1:70">
      <c r="A533" s="130" t="s">
        <v>170</v>
      </c>
      <c r="B533" s="123">
        <f>VAR(B529:B531)</f>
        <v>1.7447117065780491E-5</v>
      </c>
      <c r="C533" s="123" t="s">
        <v>170</v>
      </c>
      <c r="D533" s="123">
        <f>VAR(D529:D531)</f>
        <v>4.543105479780572E-6</v>
      </c>
      <c r="E533" s="123">
        <f>VAR(G524:G526)</f>
        <v>0.21330704224626507</v>
      </c>
      <c r="F533" s="124">
        <f>STDEV(G524:G526)/G528</f>
        <v>0.35408413907155611</v>
      </c>
      <c r="G533" s="124" t="s">
        <v>449</v>
      </c>
      <c r="L533" s="98"/>
      <c r="BG533" s="130" t="s">
        <v>15</v>
      </c>
      <c r="BH533" s="123">
        <f>BK525/BK517</f>
        <v>0.99888581314651026</v>
      </c>
      <c r="BI533" s="123" t="s">
        <v>67</v>
      </c>
      <c r="BJ533" s="123">
        <f>BK526/BK518</f>
        <v>1.0001987684986258</v>
      </c>
      <c r="BK533" s="124" t="s">
        <v>256</v>
      </c>
      <c r="BL533" s="123"/>
      <c r="BM533" s="123"/>
      <c r="BN533" s="123"/>
      <c r="BO533" s="123"/>
      <c r="BP533" s="123" t="s">
        <v>401</v>
      </c>
      <c r="BQ533" s="123">
        <v>500</v>
      </c>
      <c r="BR533" s="98" t="s">
        <v>417</v>
      </c>
    </row>
    <row r="534" spans="1:70">
      <c r="A534" s="130"/>
      <c r="G534" s="124" t="s">
        <v>438</v>
      </c>
      <c r="L534" s="98"/>
      <c r="BG534" s="130" t="s">
        <v>170</v>
      </c>
      <c r="BH534" s="123">
        <f>VAR(BH530:BH532)</f>
        <v>4.6145334631065096E-11</v>
      </c>
      <c r="BI534" s="123" t="s">
        <v>170</v>
      </c>
      <c r="BJ534" s="123">
        <f>VAR(BJ530:BJ532)</f>
        <v>3.4706354606958416E-12</v>
      </c>
      <c r="BK534" s="123">
        <f>VAR(BM525:BM527)</f>
        <v>14451.389572289016</v>
      </c>
      <c r="BL534" s="124">
        <f>STDEV(BM525:BM527)/BM529</f>
        <v>0.46274673586697052</v>
      </c>
      <c r="BM534" s="124" t="s">
        <v>449</v>
      </c>
      <c r="BN534" s="123"/>
      <c r="BO534" s="123"/>
      <c r="BP534" s="123"/>
      <c r="BQ534" s="123"/>
      <c r="BR534" s="98"/>
    </row>
    <row r="535" spans="1:70">
      <c r="A535" s="130"/>
      <c r="D535" s="123" t="s">
        <v>444</v>
      </c>
      <c r="L535" s="98"/>
      <c r="BG535" s="130"/>
      <c r="BH535" s="123"/>
      <c r="BI535" s="123"/>
      <c r="BJ535" s="123"/>
      <c r="BK535" s="123">
        <f>BK534/BM529</f>
        <v>55.628604880066497</v>
      </c>
      <c r="BL535" s="123"/>
      <c r="BM535" s="124" t="s">
        <v>438</v>
      </c>
      <c r="BN535" s="123"/>
      <c r="BO535" s="123"/>
      <c r="BP535" s="123"/>
      <c r="BQ535" s="123"/>
      <c r="BR535" s="98"/>
    </row>
    <row r="536" spans="1:70">
      <c r="A536" s="130"/>
      <c r="B536" s="123">
        <f>B529</f>
        <v>1.0004876099120703</v>
      </c>
      <c r="D536" s="123">
        <f>ABS(C524-B525)/C524</f>
        <v>7.5174796548280007E-2</v>
      </c>
      <c r="E536" s="123" t="s">
        <v>446</v>
      </c>
      <c r="L536" s="98"/>
      <c r="BG536" s="130"/>
      <c r="BH536" s="123"/>
      <c r="BI536" s="123"/>
      <c r="BJ536" s="123" t="s">
        <v>444</v>
      </c>
      <c r="BK536" s="123"/>
      <c r="BL536" s="123"/>
      <c r="BM536" s="123"/>
      <c r="BN536" s="123"/>
      <c r="BO536" s="123"/>
      <c r="BP536" s="123"/>
      <c r="BQ536" s="123"/>
      <c r="BR536" s="98"/>
    </row>
    <row r="537" spans="1:70">
      <c r="A537" s="130"/>
      <c r="B537" s="123">
        <f t="shared" ref="B537:B538" si="945">B530</f>
        <v>0.99555757713592608</v>
      </c>
      <c r="D537" s="123">
        <f>ABS((C516-B517)/C516)</f>
        <v>0.1943068746661355</v>
      </c>
      <c r="E537" s="123" t="s">
        <v>445</v>
      </c>
      <c r="L537" s="98"/>
      <c r="BG537" s="130"/>
      <c r="BH537" s="123">
        <f>BH530</f>
        <v>0.99888579978352676</v>
      </c>
      <c r="BI537" s="123"/>
      <c r="BJ537" s="123">
        <f>ABS(BI525-BH526)/BI525</f>
        <v>1.1000797557822943E-3</v>
      </c>
      <c r="BK537" s="123" t="s">
        <v>446</v>
      </c>
      <c r="BL537" s="123"/>
      <c r="BM537" s="123"/>
      <c r="BN537" s="123"/>
      <c r="BO537" s="123"/>
      <c r="BP537" s="123"/>
      <c r="BQ537" s="123"/>
      <c r="BR537" s="98"/>
    </row>
    <row r="538" spans="1:70">
      <c r="A538" s="130"/>
      <c r="B538" s="123">
        <f t="shared" si="945"/>
        <v>0.9921820084662365</v>
      </c>
      <c r="L538" s="98"/>
      <c r="BG538" s="130"/>
      <c r="BH538" s="123">
        <f t="shared" ref="BH538:BH539" si="946">BH531</f>
        <v>0.9988861845633431</v>
      </c>
      <c r="BI538" s="123"/>
      <c r="BJ538" s="123">
        <f>ABS((BI517-BH518)/BI517)</f>
        <v>2.1089018581259197E-4</v>
      </c>
      <c r="BK538" s="123" t="s">
        <v>445</v>
      </c>
      <c r="BL538" s="123"/>
      <c r="BM538" s="123"/>
      <c r="BN538" s="123"/>
      <c r="BO538" s="123"/>
      <c r="BP538" s="123"/>
      <c r="BQ538" s="123"/>
      <c r="BR538" s="98"/>
    </row>
    <row r="539" spans="1:70">
      <c r="A539" s="130"/>
      <c r="B539" s="123">
        <f>D529</f>
        <v>1.1058678666171717</v>
      </c>
      <c r="L539" s="98"/>
      <c r="BG539" s="130"/>
      <c r="BH539" s="123">
        <f t="shared" si="946"/>
        <v>0.99889775333673891</v>
      </c>
      <c r="BI539" s="123"/>
      <c r="BJ539" s="123"/>
      <c r="BK539" s="123"/>
      <c r="BL539" s="123"/>
      <c r="BM539" s="123"/>
      <c r="BN539" s="123"/>
      <c r="BO539" s="123"/>
      <c r="BP539" s="123"/>
      <c r="BQ539" s="123"/>
      <c r="BR539" s="98"/>
    </row>
    <row r="540" spans="1:70">
      <c r="A540" s="130"/>
      <c r="B540" s="123">
        <f t="shared" ref="B540:B541" si="947">D530</f>
        <v>1.1056312535966886</v>
      </c>
      <c r="L540" s="98"/>
      <c r="BG540" s="130"/>
      <c r="BH540" s="123">
        <f>BJ530</f>
        <v>1.0001971364780422</v>
      </c>
      <c r="BI540" s="123"/>
      <c r="BJ540" s="123"/>
      <c r="BK540" s="123"/>
      <c r="BL540" s="123"/>
      <c r="BM540" s="123"/>
      <c r="BN540" s="123"/>
      <c r="BO540" s="123"/>
      <c r="BP540" s="123"/>
      <c r="BQ540" s="123"/>
      <c r="BR540" s="98"/>
    </row>
    <row r="541" spans="1:70">
      <c r="A541" s="130"/>
      <c r="B541" s="123">
        <f t="shared" si="947"/>
        <v>1.109435659284685</v>
      </c>
      <c r="L541" s="98"/>
      <c r="BG541" s="130"/>
      <c r="BH541" s="123">
        <f t="shared" ref="BH541:BH542" si="948">BJ531</f>
        <v>1.0001983810092214</v>
      </c>
      <c r="BI541" s="123"/>
      <c r="BJ541" s="123"/>
      <c r="BK541" s="123"/>
      <c r="BL541" s="123"/>
      <c r="BM541" s="123"/>
      <c r="BN541" s="123"/>
      <c r="BO541" s="123"/>
      <c r="BP541" s="123"/>
      <c r="BQ541" s="123"/>
      <c r="BR541" s="98"/>
    </row>
    <row r="542" spans="1:70" ht="15.75" thickBot="1">
      <c r="A542" s="131" t="s">
        <v>170</v>
      </c>
      <c r="B542" s="126">
        <f>VAR(B536:B541)</f>
        <v>3.698607303707746E-3</v>
      </c>
      <c r="C542" s="126"/>
      <c r="D542" s="126"/>
      <c r="E542" s="126"/>
      <c r="F542" s="126"/>
      <c r="G542" s="126"/>
      <c r="H542" s="126"/>
      <c r="I542" s="126"/>
      <c r="J542" s="126"/>
      <c r="K542" s="126"/>
      <c r="L542" s="127"/>
      <c r="BG542" s="130"/>
      <c r="BH542" s="123">
        <f t="shared" si="948"/>
        <v>1.0001947173191317</v>
      </c>
      <c r="BI542" s="123"/>
      <c r="BJ542" s="123"/>
      <c r="BK542" s="123"/>
      <c r="BL542" s="123"/>
      <c r="BM542" s="123"/>
      <c r="BN542" s="123"/>
      <c r="BO542" s="123"/>
      <c r="BP542" s="123"/>
      <c r="BQ542" s="123"/>
      <c r="BR542" s="98"/>
    </row>
    <row r="543" spans="1:70" ht="16.5" thickTop="1" thickBot="1">
      <c r="A543" s="128"/>
      <c r="B543" s="121"/>
      <c r="C543" s="121"/>
      <c r="D543" s="121"/>
      <c r="E543" s="121"/>
      <c r="F543" s="133" t="s">
        <v>239</v>
      </c>
      <c r="G543" s="121"/>
      <c r="H543" s="121"/>
      <c r="I543" s="129" t="s">
        <v>282</v>
      </c>
      <c r="J543" s="121"/>
      <c r="K543" s="121"/>
      <c r="L543" s="122"/>
      <c r="BG543" s="131" t="s">
        <v>170</v>
      </c>
      <c r="BH543" s="126">
        <f>VAR(BH537:BH542)</f>
        <v>5.1236310271395088E-7</v>
      </c>
      <c r="BI543" s="126"/>
      <c r="BJ543" s="126"/>
      <c r="BK543" s="126"/>
      <c r="BL543" s="126"/>
      <c r="BM543" s="126"/>
      <c r="BN543" s="126"/>
      <c r="BO543" s="126"/>
      <c r="BP543" s="126"/>
      <c r="BQ543" s="126"/>
      <c r="BR543" s="127"/>
    </row>
    <row r="544" spans="1:70" ht="16.5" thickTop="1" thickBot="1">
      <c r="A544" s="130" t="s">
        <v>167</v>
      </c>
      <c r="H544" s="123" t="s">
        <v>168</v>
      </c>
      <c r="L544" s="98"/>
      <c r="BG544" s="128"/>
      <c r="BH544" s="121"/>
      <c r="BI544" s="121"/>
      <c r="BJ544" s="121"/>
      <c r="BK544" s="121"/>
      <c r="BL544" s="133" t="s">
        <v>239</v>
      </c>
      <c r="BM544" s="121"/>
      <c r="BN544" s="121"/>
      <c r="BO544" s="129" t="s">
        <v>421</v>
      </c>
      <c r="BP544" s="121"/>
      <c r="BQ544" s="121"/>
      <c r="BR544" s="122"/>
    </row>
    <row r="545" spans="1:70" ht="16.5" thickTop="1" thickBot="1">
      <c r="A545" s="1"/>
      <c r="B545" s="2" t="s">
        <v>0</v>
      </c>
      <c r="C545" s="2" t="s">
        <v>1</v>
      </c>
      <c r="D545" s="2" t="s">
        <v>2</v>
      </c>
      <c r="E545" s="3" t="s">
        <v>6</v>
      </c>
      <c r="F545" s="103" t="s">
        <v>70</v>
      </c>
      <c r="G545" s="103" t="s">
        <v>172</v>
      </c>
      <c r="H545" s="123" t="s">
        <v>3</v>
      </c>
      <c r="I545" s="123">
        <v>6</v>
      </c>
      <c r="K545" s="123" t="s">
        <v>19</v>
      </c>
      <c r="L545" s="98">
        <v>0.36088599999999998</v>
      </c>
      <c r="BG545" s="130" t="s">
        <v>167</v>
      </c>
      <c r="BH545" s="123"/>
      <c r="BI545" s="123"/>
      <c r="BJ545" s="123"/>
      <c r="BK545" s="123"/>
      <c r="BL545" s="123"/>
      <c r="BM545" s="123"/>
      <c r="BN545" s="123" t="s">
        <v>168</v>
      </c>
      <c r="BO545" s="123"/>
      <c r="BP545" s="123"/>
      <c r="BQ545" s="123"/>
      <c r="BR545" s="98"/>
    </row>
    <row r="546" spans="1:70" ht="15.75" thickTop="1">
      <c r="A546" s="4" t="s">
        <v>3</v>
      </c>
      <c r="B546" s="100">
        <v>178.82300000000001</v>
      </c>
      <c r="C546" s="5">
        <v>301.52699999999999</v>
      </c>
      <c r="D546" s="5">
        <v>174.256</v>
      </c>
      <c r="E546" s="104">
        <f>SUM(B546:D546)</f>
        <v>654.60599999999999</v>
      </c>
      <c r="F546" s="123">
        <f>D546/C546</f>
        <v>0.57791176246239973</v>
      </c>
      <c r="G546" s="123">
        <f>B546/C546</f>
        <v>0.59305800143934051</v>
      </c>
      <c r="H546" s="123" t="s">
        <v>4</v>
      </c>
      <c r="I546" s="123">
        <v>12</v>
      </c>
      <c r="L546" s="98"/>
      <c r="BG546" s="1"/>
      <c r="BH546" s="2" t="s">
        <v>0</v>
      </c>
      <c r="BI546" s="2" t="s">
        <v>1</v>
      </c>
      <c r="BJ546" s="2" t="s">
        <v>2</v>
      </c>
      <c r="BK546" s="3" t="s">
        <v>6</v>
      </c>
      <c r="BL546" s="103" t="s">
        <v>70</v>
      </c>
      <c r="BM546" s="103" t="s">
        <v>172</v>
      </c>
      <c r="BN546" s="123" t="s">
        <v>3</v>
      </c>
      <c r="BO546" s="123">
        <v>30</v>
      </c>
      <c r="BP546" s="123"/>
      <c r="BQ546" s="123" t="s">
        <v>19</v>
      </c>
      <c r="BR546" s="123">
        <v>2.91335E-2</v>
      </c>
    </row>
    <row r="547" spans="1:70">
      <c r="A547" s="4" t="s">
        <v>4</v>
      </c>
      <c r="B547" s="5">
        <v>308.654</v>
      </c>
      <c r="C547" s="5">
        <v>515.03300000000002</v>
      </c>
      <c r="D547" s="5">
        <v>297.64400000000001</v>
      </c>
      <c r="E547" s="106">
        <f t="shared" ref="E547:E549" si="949">SUM(B547:D547)</f>
        <v>1121.3310000000001</v>
      </c>
      <c r="F547" s="123">
        <f t="shared" ref="F547:F549" si="950">D547/C547</f>
        <v>0.57791248327777056</v>
      </c>
      <c r="G547" s="123">
        <f t="shared" ref="G547:G549" si="951">B547/C547</f>
        <v>0.59928975424875686</v>
      </c>
      <c r="H547" s="123" t="s">
        <v>5</v>
      </c>
      <c r="I547" s="123">
        <v>4</v>
      </c>
      <c r="L547" s="98"/>
      <c r="BG547" s="4" t="s">
        <v>3</v>
      </c>
      <c r="BH547" s="100">
        <f>1.1453*10^6</f>
        <v>1145300</v>
      </c>
      <c r="BI547" s="5">
        <v>121621</v>
      </c>
      <c r="BJ547" s="5">
        <v>38727.300000000003</v>
      </c>
      <c r="BK547" s="104">
        <f>SUM(BH547:BJ547)</f>
        <v>1305648.3</v>
      </c>
      <c r="BL547" s="123">
        <f>BJ547/BI547</f>
        <v>0.3184260941778147</v>
      </c>
      <c r="BM547" s="123">
        <f>BH547/BI547</f>
        <v>9.4169592422361266</v>
      </c>
      <c r="BN547" s="123" t="s">
        <v>4</v>
      </c>
      <c r="BO547" s="123">
        <v>60</v>
      </c>
      <c r="BP547" s="123"/>
      <c r="BQ547" s="123"/>
      <c r="BR547" s="98"/>
    </row>
    <row r="548" spans="1:70">
      <c r="A548" s="4" t="s">
        <v>5</v>
      </c>
      <c r="B548" s="5">
        <v>167.12899999999999</v>
      </c>
      <c r="C548" s="5">
        <v>304.77100000000002</v>
      </c>
      <c r="D548" s="5">
        <v>176.131</v>
      </c>
      <c r="E548" s="108">
        <f t="shared" si="949"/>
        <v>648.03099999999995</v>
      </c>
      <c r="F548" s="123">
        <f t="shared" si="950"/>
        <v>0.57791259667094308</v>
      </c>
      <c r="G548" s="123">
        <f t="shared" si="951"/>
        <v>0.54837566566372775</v>
      </c>
      <c r="L548" s="98"/>
      <c r="BG548" s="4" t="s">
        <v>4</v>
      </c>
      <c r="BH548" s="5">
        <v>122057</v>
      </c>
      <c r="BI548" s="5">
        <v>6145.17</v>
      </c>
      <c r="BJ548" s="5">
        <v>1956.78</v>
      </c>
      <c r="BK548" s="106">
        <f t="shared" ref="BK548:BK550" si="952">SUM(BH548:BJ548)</f>
        <v>130158.95</v>
      </c>
      <c r="BL548" s="123">
        <f t="shared" ref="BL548:BL550" si="953">BJ548/BI548</f>
        <v>0.31842569042028129</v>
      </c>
      <c r="BM548" s="123">
        <f t="shared" ref="BM548:BM550" si="954">BH548/BI548</f>
        <v>19.86226581201171</v>
      </c>
      <c r="BN548" s="123" t="s">
        <v>5</v>
      </c>
      <c r="BO548" s="123">
        <v>25</v>
      </c>
      <c r="BP548" s="123"/>
      <c r="BQ548" s="123"/>
      <c r="BR548" s="98"/>
    </row>
    <row r="549" spans="1:70" ht="15.75" thickBot="1">
      <c r="A549" s="7"/>
      <c r="B549" s="105">
        <f>SUM(B546:B548)</f>
        <v>654.60599999999999</v>
      </c>
      <c r="C549" s="107">
        <f>SUM(C546:C548)</f>
        <v>1121.3309999999999</v>
      </c>
      <c r="D549" s="109">
        <f>SUM(D546:D548)</f>
        <v>648.03099999999995</v>
      </c>
      <c r="E549" s="101">
        <f t="shared" si="949"/>
        <v>2423.9679999999998</v>
      </c>
      <c r="F549" s="123">
        <f t="shared" si="950"/>
        <v>0.5779123202693941</v>
      </c>
      <c r="G549" s="123">
        <f t="shared" si="951"/>
        <v>0.58377588776195433</v>
      </c>
      <c r="I549" s="123" t="s">
        <v>283</v>
      </c>
      <c r="L549" s="98"/>
      <c r="BG549" s="4" t="s">
        <v>5</v>
      </c>
      <c r="BH549" s="5">
        <v>38291.9</v>
      </c>
      <c r="BI549" s="5">
        <v>2392.1999999999998</v>
      </c>
      <c r="BJ549" s="5">
        <v>761.73900000000003</v>
      </c>
      <c r="BK549" s="108">
        <f t="shared" si="952"/>
        <v>41445.839</v>
      </c>
      <c r="BL549" s="123">
        <f t="shared" si="953"/>
        <v>0.31842613493855032</v>
      </c>
      <c r="BM549" s="123">
        <f t="shared" si="954"/>
        <v>16.006981021653711</v>
      </c>
      <c r="BN549" s="123"/>
      <c r="BO549" s="123"/>
      <c r="BP549" s="123"/>
      <c r="BQ549" s="123"/>
      <c r="BR549" s="98"/>
    </row>
    <row r="550" spans="1:70" ht="16.5" thickTop="1" thickBot="1">
      <c r="A550" s="130"/>
      <c r="F550" s="124" t="s">
        <v>420</v>
      </c>
      <c r="G550" s="103">
        <f>AVERAGE(G546:G548)</f>
        <v>0.58024114045060837</v>
      </c>
      <c r="L550" s="98"/>
      <c r="BG550" s="7"/>
      <c r="BH550" s="105">
        <f>SUM(BH547:BH549)</f>
        <v>1305648.8999999999</v>
      </c>
      <c r="BI550" s="107">
        <f>SUM(BI547:BI549)</f>
        <v>130158.37</v>
      </c>
      <c r="BJ550" s="109">
        <f>SUM(BJ547:BJ549)</f>
        <v>41445.819000000003</v>
      </c>
      <c r="BK550" s="101">
        <f t="shared" si="952"/>
        <v>1477253.0889999999</v>
      </c>
      <c r="BL550" s="123">
        <f t="shared" si="953"/>
        <v>0.31842607586434896</v>
      </c>
      <c r="BM550" s="123">
        <f t="shared" si="954"/>
        <v>10.031232720569564</v>
      </c>
      <c r="BN550" s="123"/>
      <c r="BO550" s="123"/>
      <c r="BP550" s="123"/>
      <c r="BQ550" s="123"/>
      <c r="BR550" s="98"/>
    </row>
    <row r="551" spans="1:70" ht="15.75" thickTop="1">
      <c r="A551" s="130"/>
      <c r="L551" s="98"/>
      <c r="BG551" s="130"/>
      <c r="BH551" s="123"/>
      <c r="BI551" s="123"/>
      <c r="BJ551" s="123"/>
      <c r="BK551" s="123"/>
      <c r="BL551" s="124" t="s">
        <v>420</v>
      </c>
      <c r="BM551" s="103">
        <f>AVERAGE(BM547:BM549)</f>
        <v>15.095402025300515</v>
      </c>
      <c r="BN551" s="123"/>
      <c r="BO551" s="123"/>
      <c r="BP551" s="123"/>
      <c r="BQ551" s="123"/>
      <c r="BR551" s="98"/>
    </row>
    <row r="552" spans="1:70" ht="15.75" thickBot="1">
      <c r="A552" s="140" t="s">
        <v>254</v>
      </c>
      <c r="J552" s="124" t="s">
        <v>218</v>
      </c>
      <c r="L552" s="98"/>
      <c r="BG552" s="130"/>
      <c r="BH552" s="123"/>
      <c r="BI552" s="123"/>
      <c r="BJ552" s="123"/>
      <c r="BK552" s="123"/>
      <c r="BL552" s="123"/>
      <c r="BM552" s="123"/>
      <c r="BN552" s="123"/>
      <c r="BO552" s="123"/>
      <c r="BP552" s="123" t="s">
        <v>419</v>
      </c>
      <c r="BQ552" s="123">
        <v>0.45</v>
      </c>
      <c r="BR552" s="98"/>
    </row>
    <row r="553" spans="1:70" ht="16.5" thickTop="1" thickBot="1">
      <c r="A553" s="1"/>
      <c r="B553" s="2" t="s">
        <v>8</v>
      </c>
      <c r="C553" s="2" t="s">
        <v>9</v>
      </c>
      <c r="D553" s="2" t="s">
        <v>10</v>
      </c>
      <c r="E553" s="3" t="s">
        <v>11</v>
      </c>
      <c r="F553" s="103" t="s">
        <v>16</v>
      </c>
      <c r="G553" s="103" t="s">
        <v>172</v>
      </c>
      <c r="H553" s="124" t="s">
        <v>171</v>
      </c>
      <c r="J553" s="123">
        <v>0.08</v>
      </c>
      <c r="K553" s="103" t="s">
        <v>212</v>
      </c>
      <c r="L553" s="98"/>
      <c r="BG553" s="140" t="s">
        <v>254</v>
      </c>
      <c r="BH553" s="123"/>
      <c r="BI553" s="123"/>
      <c r="BJ553" s="123"/>
      <c r="BK553" s="123"/>
      <c r="BL553" s="123"/>
      <c r="BM553" s="123"/>
      <c r="BN553" s="123"/>
      <c r="BO553" s="123"/>
      <c r="BP553" s="124" t="s">
        <v>218</v>
      </c>
      <c r="BQ553" s="123"/>
      <c r="BR553" s="98"/>
    </row>
    <row r="554" spans="1:70" ht="15.75" thickTop="1">
      <c r="A554" s="4" t="s">
        <v>3</v>
      </c>
      <c r="B554" s="100">
        <v>180.95699999999999</v>
      </c>
      <c r="C554" s="5">
        <v>305.84399999999999</v>
      </c>
      <c r="D554" s="5">
        <v>175.679</v>
      </c>
      <c r="E554" s="110">
        <f>SUM(B554:D554)</f>
        <v>662.48</v>
      </c>
      <c r="F554" s="123">
        <f>D554/(B554+C554)</f>
        <v>0.36088463252951414</v>
      </c>
      <c r="G554" s="123">
        <f>B554/C554</f>
        <v>0.59166437791815429</v>
      </c>
      <c r="H554" s="125">
        <f>ABS((E557-E549)/E549)</f>
        <v>8.1403714900528494E-3</v>
      </c>
      <c r="J554" s="123">
        <f>J553</f>
        <v>0.08</v>
      </c>
      <c r="K554" s="123" t="s">
        <v>213</v>
      </c>
      <c r="L554" s="98"/>
      <c r="BG554" s="1"/>
      <c r="BH554" s="2" t="s">
        <v>8</v>
      </c>
      <c r="BI554" s="2" t="s">
        <v>9</v>
      </c>
      <c r="BJ554" s="2" t="s">
        <v>10</v>
      </c>
      <c r="BK554" s="3" t="s">
        <v>11</v>
      </c>
      <c r="BL554" s="103" t="s">
        <v>16</v>
      </c>
      <c r="BM554" s="103" t="s">
        <v>172</v>
      </c>
      <c r="BN554" s="124" t="s">
        <v>171</v>
      </c>
      <c r="BO554" s="123"/>
      <c r="BP554" s="123">
        <f>0.13*0.45</f>
        <v>5.8500000000000003E-2</v>
      </c>
      <c r="BQ554" s="103" t="s">
        <v>212</v>
      </c>
      <c r="BR554" s="98"/>
    </row>
    <row r="555" spans="1:70">
      <c r="A555" s="4" t="s">
        <v>4</v>
      </c>
      <c r="B555" s="5">
        <v>312.33699999999999</v>
      </c>
      <c r="C555" s="5">
        <v>520.34699999999998</v>
      </c>
      <c r="D555" s="5">
        <v>300.50400000000002</v>
      </c>
      <c r="E555" s="112">
        <f t="shared" ref="E555:E556" si="955">SUM(B555:D555)</f>
        <v>1133.1880000000001</v>
      </c>
      <c r="F555" s="123">
        <f t="shared" ref="F555:F557" si="956">D555/(B555+C555)</f>
        <v>0.36088600237304913</v>
      </c>
      <c r="G555" s="123">
        <f t="shared" ref="G555:G557" si="957">B555/C555</f>
        <v>0.60024752713093377</v>
      </c>
      <c r="J555" s="123">
        <f t="shared" ref="J555:J558" si="958">J554</f>
        <v>0.08</v>
      </c>
      <c r="K555" s="123" t="s">
        <v>214</v>
      </c>
      <c r="L555" s="98"/>
      <c r="BG555" s="4" t="s">
        <v>3</v>
      </c>
      <c r="BH555" s="100">
        <f>1.13322*10^6</f>
        <v>1133220</v>
      </c>
      <c r="BI555" s="5">
        <v>122127</v>
      </c>
      <c r="BJ555" s="5">
        <v>36572.6</v>
      </c>
      <c r="BK555" s="110">
        <f>SUM(BH555:BJ555)</f>
        <v>1291919.6000000001</v>
      </c>
      <c r="BL555" s="123">
        <f>BJ555/(BH555+BI555)</f>
        <v>2.9133458716992192E-2</v>
      </c>
      <c r="BM555" s="123">
        <f>BH555/BI555</f>
        <v>9.2790292073005975</v>
      </c>
      <c r="BN555" s="125">
        <f>ABS((BK558-BK550)/BK550)</f>
        <v>8.9266687598713763E-3</v>
      </c>
      <c r="BO555" s="123"/>
      <c r="BP555" s="123">
        <f>0.307*0.45</f>
        <v>0.13815</v>
      </c>
      <c r="BQ555" s="123" t="s">
        <v>213</v>
      </c>
      <c r="BR555" s="98"/>
    </row>
    <row r="556" spans="1:70">
      <c r="A556" s="4" t="s">
        <v>5</v>
      </c>
      <c r="B556" s="5">
        <v>169.18700000000001</v>
      </c>
      <c r="C556" s="5">
        <v>306.99700000000001</v>
      </c>
      <c r="D556" s="5">
        <v>171.84800000000001</v>
      </c>
      <c r="E556" s="108">
        <f t="shared" si="955"/>
        <v>648.03200000000004</v>
      </c>
      <c r="F556" s="123">
        <f t="shared" si="956"/>
        <v>0.36088570804562942</v>
      </c>
      <c r="G556" s="123">
        <f t="shared" si="957"/>
        <v>0.55110310524207073</v>
      </c>
      <c r="J556" s="123">
        <f t="shared" si="958"/>
        <v>0.08</v>
      </c>
      <c r="K556" s="103" t="s">
        <v>215</v>
      </c>
      <c r="L556" s="98"/>
      <c r="BG556" s="4" t="s">
        <v>4</v>
      </c>
      <c r="BH556" s="5">
        <v>120830</v>
      </c>
      <c r="BI556" s="5">
        <v>6170.73</v>
      </c>
      <c r="BJ556" s="5">
        <v>3699.97</v>
      </c>
      <c r="BK556" s="112">
        <f t="shared" ref="BK556:BK557" si="959">SUM(BH556:BJ556)</f>
        <v>130700.7</v>
      </c>
      <c r="BL556" s="123">
        <f t="shared" ref="BL556:BL558" si="960">BJ556/(BH556+BI556)</f>
        <v>2.9133454587229539E-2</v>
      </c>
      <c r="BM556" s="123">
        <f t="shared" ref="BM556:BM558" si="961">BH556/BI556</f>
        <v>19.581151662769237</v>
      </c>
      <c r="BN556" s="123"/>
      <c r="BO556" s="123"/>
      <c r="BP556" s="123">
        <f>0.23*0.45</f>
        <v>0.10350000000000001</v>
      </c>
      <c r="BQ556" s="123" t="s">
        <v>214</v>
      </c>
      <c r="BR556" s="98"/>
    </row>
    <row r="557" spans="1:70" ht="15.75" thickBot="1">
      <c r="A557" s="7"/>
      <c r="B557" s="111">
        <f>SUM(B554:B556)</f>
        <v>662.48099999999999</v>
      </c>
      <c r="C557" s="113">
        <f t="shared" ref="C557:D557" si="962">SUM(C554:C556)</f>
        <v>1133.1880000000001</v>
      </c>
      <c r="D557" s="109">
        <f t="shared" si="962"/>
        <v>648.03099999999995</v>
      </c>
      <c r="E557" s="102">
        <f>SUM(E554:E556)</f>
        <v>2443.7000000000003</v>
      </c>
      <c r="F557" s="123">
        <f t="shared" si="956"/>
        <v>0.36088555296104119</v>
      </c>
      <c r="G557" s="123">
        <f t="shared" si="957"/>
        <v>0.584617027359979</v>
      </c>
      <c r="J557" s="123">
        <f t="shared" si="958"/>
        <v>0.08</v>
      </c>
      <c r="K557" s="103" t="s">
        <v>216</v>
      </c>
      <c r="L557" s="98"/>
      <c r="BG557" s="4" t="s">
        <v>5</v>
      </c>
      <c r="BH557" s="5">
        <v>37870.400000000001</v>
      </c>
      <c r="BI557" s="5">
        <v>2402.16</v>
      </c>
      <c r="BJ557" s="5">
        <v>1173.28</v>
      </c>
      <c r="BK557" s="108">
        <f t="shared" si="959"/>
        <v>41445.839999999997</v>
      </c>
      <c r="BL557" s="123">
        <f t="shared" si="960"/>
        <v>2.913348443704597E-2</v>
      </c>
      <c r="BM557" s="123">
        <f t="shared" si="961"/>
        <v>15.765144703100544</v>
      </c>
      <c r="BN557" s="123"/>
      <c r="BO557" s="123" t="s">
        <v>397</v>
      </c>
      <c r="BP557" s="123"/>
      <c r="BQ557" s="103" t="s">
        <v>215</v>
      </c>
      <c r="BR557" s="98"/>
    </row>
    <row r="558" spans="1:70" ht="16.5" thickTop="1" thickBot="1">
      <c r="A558" s="130"/>
      <c r="F558" s="124" t="s">
        <v>420</v>
      </c>
      <c r="G558" s="103">
        <f>AVERAGE(G554:G556)</f>
        <v>0.5810050034303863</v>
      </c>
      <c r="J558" s="123">
        <f t="shared" si="958"/>
        <v>0.08</v>
      </c>
      <c r="K558" s="103" t="s">
        <v>217</v>
      </c>
      <c r="L558" s="98"/>
      <c r="BG558" s="7"/>
      <c r="BH558" s="111">
        <f>SUM(BH555:BH557)</f>
        <v>1291920.3999999999</v>
      </c>
      <c r="BI558" s="113">
        <f t="shared" ref="BI558:BJ558" si="963">SUM(BI555:BI557)</f>
        <v>130699.89</v>
      </c>
      <c r="BJ558" s="109">
        <f t="shared" si="963"/>
        <v>41445.85</v>
      </c>
      <c r="BK558" s="102">
        <f>SUM(BK555:BK557)</f>
        <v>1464066.1400000001</v>
      </c>
      <c r="BL558" s="123">
        <f t="shared" si="960"/>
        <v>2.9133459076420176E-2</v>
      </c>
      <c r="BM558" s="123">
        <f t="shared" si="961"/>
        <v>9.8846326496525734</v>
      </c>
      <c r="BN558" s="123"/>
      <c r="BO558" s="123" t="s">
        <v>398</v>
      </c>
      <c r="BP558" s="123"/>
      <c r="BQ558" s="103" t="s">
        <v>216</v>
      </c>
      <c r="BR558" s="98"/>
    </row>
    <row r="559" spans="1:70" ht="15.75" thickTop="1">
      <c r="A559" s="130" t="s">
        <v>12</v>
      </c>
      <c r="B559" s="123">
        <f>B554/B546</f>
        <v>1.0119335879612801</v>
      </c>
      <c r="C559" s="123" t="s">
        <v>163</v>
      </c>
      <c r="D559" s="123">
        <f>C554/C546</f>
        <v>1.0143171258295278</v>
      </c>
      <c r="E559" s="124" t="s">
        <v>255</v>
      </c>
      <c r="J559" s="124" t="s">
        <v>246</v>
      </c>
      <c r="L559" s="98"/>
      <c r="BG559" s="130"/>
      <c r="BH559" s="123"/>
      <c r="BI559" s="123"/>
      <c r="BJ559" s="123"/>
      <c r="BK559" s="123"/>
      <c r="BL559" s="124" t="s">
        <v>420</v>
      </c>
      <c r="BM559" s="103">
        <f>AVERAGE(BM555:BM557)</f>
        <v>14.875108524390127</v>
      </c>
      <c r="BN559" s="123"/>
      <c r="BO559" s="123" t="s">
        <v>399</v>
      </c>
      <c r="BP559" s="123"/>
      <c r="BQ559" s="103" t="s">
        <v>217</v>
      </c>
      <c r="BR559" s="98"/>
    </row>
    <row r="560" spans="1:70">
      <c r="A560" s="130" t="s">
        <v>13</v>
      </c>
      <c r="B560" s="123">
        <f t="shared" ref="B560:B561" si="964">B555/B547</f>
        <v>1.0119324551115487</v>
      </c>
      <c r="C560" s="123" t="s">
        <v>164</v>
      </c>
      <c r="D560" s="123">
        <f t="shared" ref="D560:D561" si="965">C555/C547</f>
        <v>1.0103177854622907</v>
      </c>
      <c r="E560" s="123">
        <f>VAR(G546:G548)</f>
        <v>7.712650483144845E-4</v>
      </c>
      <c r="F560" s="124">
        <f>STDEV(G546:G548)/G550</f>
        <v>4.7862271646390279E-2</v>
      </c>
      <c r="G560" s="124" t="s">
        <v>449</v>
      </c>
      <c r="L560" s="98"/>
      <c r="BG560" s="130" t="s">
        <v>12</v>
      </c>
      <c r="BH560" s="123">
        <f>BH555/BH547</f>
        <v>0.98945254518466774</v>
      </c>
      <c r="BI560" s="123" t="s">
        <v>163</v>
      </c>
      <c r="BJ560" s="123">
        <f>BI555/BI547</f>
        <v>1.004160465709047</v>
      </c>
      <c r="BK560" s="124" t="s">
        <v>255</v>
      </c>
      <c r="BL560" s="123"/>
      <c r="BM560" s="123"/>
      <c r="BN560" s="123"/>
      <c r="BO560" s="123"/>
      <c r="BP560" s="124" t="s">
        <v>423</v>
      </c>
      <c r="BQ560" s="123"/>
      <c r="BR560" s="98"/>
    </row>
    <row r="561" spans="1:70">
      <c r="A561" s="130" t="s">
        <v>14</v>
      </c>
      <c r="B561" s="123">
        <f t="shared" si="964"/>
        <v>1.0123138414039456</v>
      </c>
      <c r="C561" s="123" t="s">
        <v>165</v>
      </c>
      <c r="D561" s="123">
        <f t="shared" si="965"/>
        <v>1.0073038445258899</v>
      </c>
      <c r="G561" s="124" t="s">
        <v>438</v>
      </c>
      <c r="L561" s="98"/>
      <c r="BG561" s="130" t="s">
        <v>13</v>
      </c>
      <c r="BH561" s="123">
        <f t="shared" ref="BH561:BH562" si="966">BH556/BH548</f>
        <v>0.98994731969489669</v>
      </c>
      <c r="BI561" s="123" t="s">
        <v>164</v>
      </c>
      <c r="BJ561" s="123">
        <f t="shared" ref="BJ561:BJ562" si="967">BI556/BI548</f>
        <v>1.0041593641835782</v>
      </c>
      <c r="BK561" s="123">
        <f>VAR(BM547:BM549)</f>
        <v>27.899339534093542</v>
      </c>
      <c r="BL561" s="124">
        <f>STDEV(BM547:BM549)/BM551</f>
        <v>0.34990671526139294</v>
      </c>
      <c r="BM561" s="124" t="s">
        <v>449</v>
      </c>
      <c r="BN561" s="123"/>
      <c r="BO561" s="123"/>
      <c r="BP561" s="123" t="s">
        <v>415</v>
      </c>
      <c r="BQ561" s="123"/>
      <c r="BR561" s="98"/>
    </row>
    <row r="562" spans="1:70">
      <c r="A562" s="130" t="s">
        <v>15</v>
      </c>
      <c r="B562" s="123">
        <f>E554/E546</f>
        <v>1.0120286095758364</v>
      </c>
      <c r="C562" s="123" t="s">
        <v>67</v>
      </c>
      <c r="D562" s="123">
        <f>E555/E547</f>
        <v>1.0105740410280282</v>
      </c>
      <c r="E562" s="124" t="s">
        <v>256</v>
      </c>
      <c r="L562" s="98"/>
      <c r="BG562" s="130" t="s">
        <v>14</v>
      </c>
      <c r="BH562" s="123">
        <f t="shared" si="966"/>
        <v>0.98899245010041292</v>
      </c>
      <c r="BI562" s="123" t="s">
        <v>165</v>
      </c>
      <c r="BJ562" s="123">
        <f t="shared" si="967"/>
        <v>1.0041635314773012</v>
      </c>
      <c r="BK562" s="123">
        <f>BK561/BM551</f>
        <v>1.8482011600176729</v>
      </c>
      <c r="BL562" s="123"/>
      <c r="BM562" s="124" t="s">
        <v>438</v>
      </c>
      <c r="BN562" s="123"/>
      <c r="BO562" s="123"/>
      <c r="BP562" s="123" t="s">
        <v>403</v>
      </c>
      <c r="BQ562" s="123">
        <v>1</v>
      </c>
      <c r="BR562" s="98" t="s">
        <v>416</v>
      </c>
    </row>
    <row r="563" spans="1:70">
      <c r="A563" s="130" t="s">
        <v>170</v>
      </c>
      <c r="B563" s="123">
        <f>VAR(B559:B561)</f>
        <v>4.8341578005966978E-8</v>
      </c>
      <c r="C563" s="123" t="s">
        <v>170</v>
      </c>
      <c r="D563" s="123">
        <f>VAR(D559:D561)</f>
        <v>1.2377446330846872E-5</v>
      </c>
      <c r="E563" s="123">
        <f>VAR(G554:G556)</f>
        <v>6.8901024905054786E-4</v>
      </c>
      <c r="F563" s="124">
        <f>STDEV(G554:G556)/G558</f>
        <v>4.5178620786347434E-2</v>
      </c>
      <c r="G563" s="124" t="s">
        <v>449</v>
      </c>
      <c r="L563" s="98"/>
      <c r="BG563" s="130" t="s">
        <v>15</v>
      </c>
      <c r="BH563" s="123">
        <f>BK555/BK547</f>
        <v>0.98948514695726253</v>
      </c>
      <c r="BI563" s="123" t="s">
        <v>67</v>
      </c>
      <c r="BJ563" s="123">
        <f>BK556/BK548</f>
        <v>1.0041622185796675</v>
      </c>
      <c r="BK563" s="124" t="s">
        <v>256</v>
      </c>
      <c r="BL563" s="123"/>
      <c r="BM563" s="123"/>
      <c r="BN563" s="123"/>
      <c r="BO563" s="123"/>
      <c r="BP563" s="123" t="s">
        <v>401</v>
      </c>
      <c r="BQ563" s="123">
        <v>500</v>
      </c>
      <c r="BR563" s="98" t="s">
        <v>417</v>
      </c>
    </row>
    <row r="564" spans="1:70">
      <c r="A564" s="130"/>
      <c r="G564" s="124" t="s">
        <v>438</v>
      </c>
      <c r="L564" s="98"/>
      <c r="BG564" s="130" t="s">
        <v>170</v>
      </c>
      <c r="BH564" s="123">
        <f>VAR(BH560:BH562)</f>
        <v>2.2804420749955529E-7</v>
      </c>
      <c r="BI564" s="123" t="s">
        <v>170</v>
      </c>
      <c r="BJ564" s="123">
        <f>VAR(BJ560:BJ562)</f>
        <v>4.6631050533885444E-12</v>
      </c>
      <c r="BK564" s="123">
        <f>VAR(BM555:BM557)</f>
        <v>27.127555071427878</v>
      </c>
      <c r="BL564" s="124">
        <f>STDEV(BM555:BM557)/BM559</f>
        <v>0.35014278681666999</v>
      </c>
      <c r="BM564" s="124" t="s">
        <v>449</v>
      </c>
      <c r="BN564" s="123"/>
      <c r="BO564" s="123"/>
      <c r="BP564" s="123"/>
      <c r="BQ564" s="123"/>
      <c r="BR564" s="98"/>
    </row>
    <row r="565" spans="1:70">
      <c r="A565" s="130"/>
      <c r="D565" s="123" t="s">
        <v>444</v>
      </c>
      <c r="L565" s="98"/>
      <c r="BG565" s="130"/>
      <c r="BH565" s="123"/>
      <c r="BI565" s="123"/>
      <c r="BJ565" s="123"/>
      <c r="BK565" s="123">
        <f>BK564/BM559</f>
        <v>1.823687876088292</v>
      </c>
      <c r="BL565" s="123"/>
      <c r="BM565" s="124" t="s">
        <v>438</v>
      </c>
      <c r="BN565" s="123"/>
      <c r="BO565" s="123"/>
      <c r="BP565" s="123"/>
      <c r="BQ565" s="123"/>
      <c r="BR565" s="98"/>
    </row>
    <row r="566" spans="1:70">
      <c r="A566" s="130"/>
      <c r="B566" s="123">
        <f>B559</f>
        <v>1.0119335879612801</v>
      </c>
      <c r="D566" s="123">
        <f>ABS(C554-B555)/C554</f>
        <v>2.1229777272073327E-2</v>
      </c>
      <c r="E566" s="123" t="s">
        <v>446</v>
      </c>
      <c r="L566" s="98"/>
      <c r="BG566" s="130"/>
      <c r="BH566" s="123"/>
      <c r="BI566" s="123"/>
      <c r="BJ566" s="123" t="s">
        <v>444</v>
      </c>
      <c r="BK566" s="123"/>
      <c r="BL566" s="123"/>
      <c r="BM566" s="123"/>
      <c r="BN566" s="123"/>
      <c r="BO566" s="123"/>
      <c r="BP566" s="123"/>
      <c r="BQ566" s="123"/>
      <c r="BR566" s="98"/>
    </row>
    <row r="567" spans="1:70">
      <c r="A567" s="130"/>
      <c r="B567" s="123">
        <f t="shared" ref="B567:B568" si="968">B560</f>
        <v>1.0119324551115487</v>
      </c>
      <c r="D567" s="123">
        <f>ABS((C546-B547)/C546)</f>
        <v>2.363635760644987E-2</v>
      </c>
      <c r="E567" s="123" t="s">
        <v>445</v>
      </c>
      <c r="L567" s="98"/>
      <c r="BG567" s="130"/>
      <c r="BH567" s="123">
        <f>BH560</f>
        <v>0.98945254518466774</v>
      </c>
      <c r="BI567" s="123"/>
      <c r="BJ567" s="123">
        <f>ABS(BI555-BH556)/BI555</f>
        <v>1.0620092199104212E-2</v>
      </c>
      <c r="BK567" s="123" t="s">
        <v>446</v>
      </c>
      <c r="BL567" s="123"/>
      <c r="BM567" s="123"/>
      <c r="BN567" s="123"/>
      <c r="BO567" s="123"/>
      <c r="BP567" s="123"/>
      <c r="BQ567" s="123"/>
      <c r="BR567" s="98"/>
    </row>
    <row r="568" spans="1:70">
      <c r="A568" s="130"/>
      <c r="B568" s="123">
        <f t="shared" si="968"/>
        <v>1.0123138414039456</v>
      </c>
      <c r="L568" s="98"/>
      <c r="BG568" s="130"/>
      <c r="BH568" s="123">
        <f t="shared" ref="BH568:BH569" si="969">BH561</f>
        <v>0.98994731969489669</v>
      </c>
      <c r="BI568" s="123"/>
      <c r="BJ568" s="123">
        <f>ABS((BI547-BH548)/BI547)</f>
        <v>3.5849072117479712E-3</v>
      </c>
      <c r="BK568" s="123" t="s">
        <v>445</v>
      </c>
      <c r="BL568" s="123"/>
      <c r="BM568" s="123"/>
      <c r="BN568" s="123"/>
      <c r="BO568" s="123"/>
      <c r="BP568" s="123"/>
      <c r="BQ568" s="123"/>
      <c r="BR568" s="98"/>
    </row>
    <row r="569" spans="1:70">
      <c r="A569" s="130"/>
      <c r="B569" s="123">
        <f>D559</f>
        <v>1.0143171258295278</v>
      </c>
      <c r="L569" s="98"/>
      <c r="BG569" s="130"/>
      <c r="BH569" s="123">
        <f t="shared" si="969"/>
        <v>0.98899245010041292</v>
      </c>
      <c r="BI569" s="123"/>
      <c r="BJ569" s="123"/>
      <c r="BK569" s="123"/>
      <c r="BL569" s="123"/>
      <c r="BM569" s="123"/>
      <c r="BN569" s="123"/>
      <c r="BO569" s="123"/>
      <c r="BP569" s="123"/>
      <c r="BQ569" s="123"/>
      <c r="BR569" s="98"/>
    </row>
    <row r="570" spans="1:70">
      <c r="A570" s="130"/>
      <c r="B570" s="123">
        <f t="shared" ref="B570:B571" si="970">D560</f>
        <v>1.0103177854622907</v>
      </c>
      <c r="L570" s="98"/>
      <c r="BG570" s="130"/>
      <c r="BH570" s="123">
        <f>BJ560</f>
        <v>1.004160465709047</v>
      </c>
      <c r="BI570" s="123"/>
      <c r="BJ570" s="123"/>
      <c r="BK570" s="123"/>
      <c r="BL570" s="123"/>
      <c r="BM570" s="123"/>
      <c r="BN570" s="123"/>
      <c r="BO570" s="123"/>
      <c r="BP570" s="123"/>
      <c r="BQ570" s="123"/>
      <c r="BR570" s="98"/>
    </row>
    <row r="571" spans="1:70">
      <c r="A571" s="130"/>
      <c r="B571" s="123">
        <f t="shared" si="970"/>
        <v>1.0073038445258899</v>
      </c>
      <c r="L571" s="98"/>
      <c r="BG571" s="130"/>
      <c r="BH571" s="123">
        <f t="shared" ref="BH571:BH572" si="971">BJ561</f>
        <v>1.0041593641835782</v>
      </c>
      <c r="BI571" s="123"/>
      <c r="BJ571" s="123"/>
      <c r="BK571" s="123"/>
      <c r="BL571" s="123"/>
      <c r="BM571" s="123"/>
      <c r="BN571" s="123"/>
      <c r="BO571" s="123"/>
      <c r="BP571" s="123"/>
      <c r="BQ571" s="123"/>
      <c r="BR571" s="98"/>
    </row>
    <row r="572" spans="1:70" ht="15.75" thickBot="1">
      <c r="A572" s="131" t="s">
        <v>170</v>
      </c>
      <c r="B572" s="126">
        <f>VAR(B566:B571)</f>
        <v>5.5698875736328365E-6</v>
      </c>
      <c r="C572" s="126"/>
      <c r="D572" s="126"/>
      <c r="E572" s="126"/>
      <c r="F572" s="126"/>
      <c r="G572" s="126"/>
      <c r="H572" s="126"/>
      <c r="I572" s="126"/>
      <c r="J572" s="126"/>
      <c r="K572" s="126"/>
      <c r="L572" s="127"/>
      <c r="BG572" s="130"/>
      <c r="BH572" s="123">
        <f t="shared" si="971"/>
        <v>1.0041635314773012</v>
      </c>
      <c r="BI572" s="123"/>
      <c r="BJ572" s="123"/>
      <c r="BK572" s="123"/>
      <c r="BL572" s="123"/>
      <c r="BM572" s="123"/>
      <c r="BN572" s="123"/>
      <c r="BO572" s="123"/>
      <c r="BP572" s="123"/>
      <c r="BQ572" s="123"/>
      <c r="BR572" s="98"/>
    </row>
    <row r="573" spans="1:70" ht="16.5" thickTop="1" thickBot="1">
      <c r="A573" s="128"/>
      <c r="B573" s="121"/>
      <c r="C573" s="121"/>
      <c r="D573" s="121"/>
      <c r="E573" s="121"/>
      <c r="F573" s="133" t="s">
        <v>239</v>
      </c>
      <c r="G573" s="121"/>
      <c r="H573" s="121"/>
      <c r="I573" s="129" t="s">
        <v>395</v>
      </c>
      <c r="J573" s="121"/>
      <c r="K573" s="121"/>
      <c r="L573" s="122"/>
      <c r="BG573" s="131" t="s">
        <v>170</v>
      </c>
      <c r="BH573" s="126">
        <f>VAR(BH567:BH572)</f>
        <v>6.4891898606929955E-5</v>
      </c>
      <c r="BI573" s="126"/>
      <c r="BJ573" s="126"/>
      <c r="BK573" s="126"/>
      <c r="BL573" s="126"/>
      <c r="BM573" s="126"/>
      <c r="BN573" s="126"/>
      <c r="BO573" s="126"/>
      <c r="BP573" s="126"/>
      <c r="BQ573" s="126"/>
      <c r="BR573" s="127"/>
    </row>
    <row r="574" spans="1:70" ht="16.5" thickTop="1" thickBot="1">
      <c r="A574" s="130" t="s">
        <v>167</v>
      </c>
      <c r="H574" s="123" t="s">
        <v>168</v>
      </c>
      <c r="L574" s="98"/>
      <c r="BG574" s="128"/>
      <c r="BH574" s="121"/>
      <c r="BI574" s="121"/>
      <c r="BJ574" s="121"/>
      <c r="BK574" s="121"/>
      <c r="BL574" s="133" t="s">
        <v>239</v>
      </c>
      <c r="BM574" s="121"/>
      <c r="BN574" s="121"/>
      <c r="BO574" s="129" t="s">
        <v>422</v>
      </c>
      <c r="BP574" s="121"/>
      <c r="BQ574" s="121"/>
      <c r="BR574" s="122"/>
    </row>
    <row r="575" spans="1:70" ht="16.5" thickTop="1" thickBot="1">
      <c r="A575" s="1"/>
      <c r="B575" s="2" t="s">
        <v>0</v>
      </c>
      <c r="C575" s="2" t="s">
        <v>1</v>
      </c>
      <c r="D575" s="2" t="s">
        <v>2</v>
      </c>
      <c r="E575" s="3" t="s">
        <v>6</v>
      </c>
      <c r="F575" s="103" t="s">
        <v>70</v>
      </c>
      <c r="G575" s="103" t="s">
        <v>172</v>
      </c>
      <c r="H575" s="123" t="s">
        <v>3</v>
      </c>
      <c r="I575" s="123">
        <v>6</v>
      </c>
      <c r="K575" s="123" t="s">
        <v>19</v>
      </c>
      <c r="L575" s="98">
        <v>0.414549</v>
      </c>
      <c r="BG575" s="130" t="s">
        <v>167</v>
      </c>
      <c r="BH575" s="123"/>
      <c r="BI575" s="123"/>
      <c r="BJ575" s="123"/>
      <c r="BK575" s="123"/>
      <c r="BL575" s="123"/>
      <c r="BM575" s="123"/>
      <c r="BN575" s="123" t="s">
        <v>168</v>
      </c>
      <c r="BO575" s="123"/>
      <c r="BP575" s="123"/>
      <c r="BQ575" s="123"/>
      <c r="BR575" s="98"/>
    </row>
    <row r="576" spans="1:70" ht="15.75" thickTop="1">
      <c r="A576" s="4" t="s">
        <v>3</v>
      </c>
      <c r="B576" s="100">
        <v>442.55099999999999</v>
      </c>
      <c r="C576" s="5">
        <v>751.66099999999994</v>
      </c>
      <c r="D576" s="5">
        <v>464.55</v>
      </c>
      <c r="E576" s="104">
        <f>SUM(B576:D576)</f>
        <v>1658.7619999999999</v>
      </c>
      <c r="F576" s="123">
        <f>D576/C576</f>
        <v>0.61803126675456099</v>
      </c>
      <c r="G576" s="123">
        <f>B576/C576</f>
        <v>0.58876408380905754</v>
      </c>
      <c r="H576" s="123" t="s">
        <v>4</v>
      </c>
      <c r="I576" s="123">
        <v>12</v>
      </c>
      <c r="L576" s="98"/>
      <c r="BG576" s="1"/>
      <c r="BH576" s="2" t="s">
        <v>0</v>
      </c>
      <c r="BI576" s="2" t="s">
        <v>1</v>
      </c>
      <c r="BJ576" s="2" t="s">
        <v>2</v>
      </c>
      <c r="BK576" s="3" t="s">
        <v>6</v>
      </c>
      <c r="BL576" s="103" t="s">
        <v>70</v>
      </c>
      <c r="BM576" s="103" t="s">
        <v>172</v>
      </c>
      <c r="BN576" s="123" t="s">
        <v>3</v>
      </c>
      <c r="BO576" s="123">
        <v>30</v>
      </c>
      <c r="BP576" s="123"/>
      <c r="BQ576" s="123" t="s">
        <v>19</v>
      </c>
      <c r="BR576" s="123">
        <v>4.91797E-2</v>
      </c>
    </row>
    <row r="577" spans="1:70">
      <c r="A577" s="4" t="s">
        <v>4</v>
      </c>
      <c r="B577" s="5">
        <v>784.81799999999998</v>
      </c>
      <c r="C577" s="5">
        <v>1748.51</v>
      </c>
      <c r="D577" s="5">
        <v>1080.6300000000001</v>
      </c>
      <c r="E577" s="106">
        <f t="shared" ref="E577:E579" si="972">SUM(B577:D577)</f>
        <v>3613.9580000000001</v>
      </c>
      <c r="F577" s="123">
        <f t="shared" ref="F577:F579" si="973">D577/C577</f>
        <v>0.61802906474655572</v>
      </c>
      <c r="G577" s="123">
        <f t="shared" ref="G577:G579" si="974">B577/C577</f>
        <v>0.44884959193827889</v>
      </c>
      <c r="H577" s="123" t="s">
        <v>5</v>
      </c>
      <c r="I577" s="123">
        <v>4</v>
      </c>
      <c r="L577" s="98"/>
      <c r="BG577" s="4" t="s">
        <v>3</v>
      </c>
      <c r="BH577" s="100">
        <v>273707</v>
      </c>
      <c r="BI577" s="5">
        <v>55921.9</v>
      </c>
      <c r="BJ577" s="5">
        <v>17391.8</v>
      </c>
      <c r="BK577" s="104">
        <f>SUM(BH577:BJ577)</f>
        <v>347020.7</v>
      </c>
      <c r="BL577" s="123">
        <f>BJ577/BI577</f>
        <v>0.31100159329350396</v>
      </c>
      <c r="BM577" s="123">
        <f>BH577/BI577</f>
        <v>4.8944510111423254</v>
      </c>
      <c r="BN577" s="123" t="s">
        <v>4</v>
      </c>
      <c r="BO577" s="123">
        <v>60</v>
      </c>
      <c r="BP577" s="123"/>
      <c r="BQ577" s="123"/>
      <c r="BR577" s="98"/>
    </row>
    <row r="578" spans="1:70">
      <c r="A578" s="4" t="s">
        <v>5</v>
      </c>
      <c r="B578" s="5">
        <v>431.392</v>
      </c>
      <c r="C578" s="5">
        <v>1113.79</v>
      </c>
      <c r="D578" s="5">
        <v>688.35599999999999</v>
      </c>
      <c r="E578" s="108">
        <f t="shared" si="972"/>
        <v>2233.538</v>
      </c>
      <c r="F578" s="123">
        <f t="shared" si="973"/>
        <v>0.61803032887707743</v>
      </c>
      <c r="G578" s="123">
        <f t="shared" si="974"/>
        <v>0.38731897395379739</v>
      </c>
      <c r="L578" s="98"/>
      <c r="BG578" s="4" t="s">
        <v>4</v>
      </c>
      <c r="BH578" s="5">
        <v>56294.3</v>
      </c>
      <c r="BI578" s="5">
        <v>6129.89</v>
      </c>
      <c r="BJ578" s="5">
        <v>1906.4</v>
      </c>
      <c r="BK578" s="106">
        <f t="shared" ref="BK578:BK580" si="975">SUM(BH578:BJ578)</f>
        <v>64330.590000000004</v>
      </c>
      <c r="BL578" s="123">
        <f t="shared" ref="BL578:BL580" si="976">BJ578/BI578</f>
        <v>0.3110006867986212</v>
      </c>
      <c r="BM578" s="123">
        <f t="shared" ref="BM578:BM580" si="977">BH578/BI578</f>
        <v>9.1835742566342944</v>
      </c>
      <c r="BN578" s="123" t="s">
        <v>5</v>
      </c>
      <c r="BO578" s="123">
        <v>25</v>
      </c>
      <c r="BP578" s="123"/>
      <c r="BQ578" s="123"/>
      <c r="BR578" s="98"/>
    </row>
    <row r="579" spans="1:70" ht="15.75" thickBot="1">
      <c r="A579" s="7"/>
      <c r="B579" s="105">
        <f>SUM(B576:B578)</f>
        <v>1658.761</v>
      </c>
      <c r="C579" s="107">
        <f>SUM(C576:C578)</f>
        <v>3613.9609999999998</v>
      </c>
      <c r="D579" s="109">
        <f>SUM(D576:D578)</f>
        <v>2233.5360000000001</v>
      </c>
      <c r="E579" s="101">
        <f t="shared" si="972"/>
        <v>7506.2579999999998</v>
      </c>
      <c r="F579" s="123">
        <f t="shared" si="973"/>
        <v>0.6180299123316495</v>
      </c>
      <c r="G579" s="123">
        <f t="shared" si="974"/>
        <v>0.45898696748526063</v>
      </c>
      <c r="L579" s="98"/>
      <c r="BG579" s="4" t="s">
        <v>5</v>
      </c>
      <c r="BH579" s="5">
        <v>17019.3</v>
      </c>
      <c r="BI579" s="5">
        <v>2278.86</v>
      </c>
      <c r="BJ579" s="5">
        <v>708.72799999999995</v>
      </c>
      <c r="BK579" s="108">
        <f t="shared" si="975"/>
        <v>20006.887999999999</v>
      </c>
      <c r="BL579" s="123">
        <f t="shared" si="976"/>
        <v>0.31100111459238389</v>
      </c>
      <c r="BM579" s="123">
        <f t="shared" si="977"/>
        <v>7.4683394328743313</v>
      </c>
      <c r="BN579" s="123"/>
      <c r="BO579" s="123"/>
      <c r="BP579" s="123"/>
      <c r="BQ579" s="123"/>
      <c r="BR579" s="98"/>
    </row>
    <row r="580" spans="1:70" ht="16.5" thickTop="1" thickBot="1">
      <c r="A580" s="130"/>
      <c r="F580" s="124" t="s">
        <v>420</v>
      </c>
      <c r="G580" s="103">
        <f>AVERAGE(G576:G578)</f>
        <v>0.47497754990037794</v>
      </c>
      <c r="L580" s="98"/>
      <c r="BG580" s="7"/>
      <c r="BH580" s="105">
        <f>SUM(BH577:BH579)</f>
        <v>347020.6</v>
      </c>
      <c r="BI580" s="107">
        <f>SUM(BI577:BI579)</f>
        <v>64330.65</v>
      </c>
      <c r="BJ580" s="109">
        <f>SUM(BJ577:BJ579)</f>
        <v>20006.928</v>
      </c>
      <c r="BK580" s="101">
        <f t="shared" si="975"/>
        <v>431358.17800000001</v>
      </c>
      <c r="BL580" s="123">
        <f t="shared" si="976"/>
        <v>0.31100148995851901</v>
      </c>
      <c r="BM580" s="123">
        <f t="shared" si="977"/>
        <v>5.3943275872387417</v>
      </c>
      <c r="BN580" s="123"/>
      <c r="BO580" s="123"/>
      <c r="BP580" s="123"/>
      <c r="BQ580" s="123"/>
      <c r="BR580" s="98"/>
    </row>
    <row r="581" spans="1:70" ht="15.75" thickTop="1">
      <c r="A581" s="130"/>
      <c r="L581" s="98"/>
      <c r="BG581" s="130"/>
      <c r="BH581" s="123"/>
      <c r="BI581" s="123"/>
      <c r="BJ581" s="123"/>
      <c r="BK581" s="123"/>
      <c r="BL581" s="124" t="s">
        <v>420</v>
      </c>
      <c r="BM581" s="103">
        <f>AVERAGE(BM577:BM579)</f>
        <v>7.1821215668836507</v>
      </c>
      <c r="BN581" s="123"/>
      <c r="BO581" s="123"/>
      <c r="BP581" s="123"/>
      <c r="BQ581" s="123"/>
      <c r="BR581" s="98"/>
    </row>
    <row r="582" spans="1:70" ht="15.75" thickBot="1">
      <c r="A582" s="140" t="s">
        <v>254</v>
      </c>
      <c r="J582" s="124" t="s">
        <v>218</v>
      </c>
      <c r="L582" s="98"/>
      <c r="BG582" s="130"/>
      <c r="BH582" s="123"/>
      <c r="BI582" s="123"/>
      <c r="BJ582" s="123"/>
      <c r="BK582" s="123"/>
      <c r="BL582" s="123"/>
      <c r="BM582" s="123"/>
      <c r="BN582" s="123"/>
      <c r="BO582" s="123"/>
      <c r="BP582" s="123" t="s">
        <v>419</v>
      </c>
      <c r="BQ582" s="123">
        <v>0.4</v>
      </c>
      <c r="BR582" s="98"/>
    </row>
    <row r="583" spans="1:70" ht="16.5" thickTop="1" thickBot="1">
      <c r="A583" s="1"/>
      <c r="B583" s="2" t="s">
        <v>8</v>
      </c>
      <c r="C583" s="2" t="s">
        <v>9</v>
      </c>
      <c r="D583" s="2" t="s">
        <v>10</v>
      </c>
      <c r="E583" s="3" t="s">
        <v>11</v>
      </c>
      <c r="F583" s="103" t="s">
        <v>16</v>
      </c>
      <c r="G583" s="103" t="s">
        <v>172</v>
      </c>
      <c r="H583" s="124" t="s">
        <v>171</v>
      </c>
      <c r="J583" s="123">
        <v>0.08</v>
      </c>
      <c r="K583" s="103" t="s">
        <v>212</v>
      </c>
      <c r="L583" s="98"/>
      <c r="BG583" s="140" t="s">
        <v>254</v>
      </c>
      <c r="BH583" s="123"/>
      <c r="BI583" s="123"/>
      <c r="BJ583" s="123"/>
      <c r="BK583" s="123"/>
      <c r="BL583" s="123"/>
      <c r="BM583" s="123"/>
      <c r="BN583" s="123"/>
      <c r="BO583" s="123"/>
      <c r="BP583" s="124" t="s">
        <v>218</v>
      </c>
      <c r="BQ583" s="123"/>
      <c r="BR583" s="98"/>
    </row>
    <row r="584" spans="1:70" ht="15.75" thickTop="1">
      <c r="A584" s="4" t="s">
        <v>3</v>
      </c>
      <c r="B584" s="100">
        <v>457.661</v>
      </c>
      <c r="C584" s="5">
        <v>761.83</v>
      </c>
      <c r="D584" s="5">
        <v>505.53800000000001</v>
      </c>
      <c r="E584" s="110">
        <f>SUM(B584:D584)</f>
        <v>1725.029</v>
      </c>
      <c r="F584" s="123">
        <f>D584/(B584+C584)</f>
        <v>0.41454836485058111</v>
      </c>
      <c r="G584" s="123">
        <f>B584/C584</f>
        <v>0.60073901001535768</v>
      </c>
      <c r="H584" s="125">
        <f>ABS((E587-E579)/E579)</f>
        <v>1.5341998636337848E-2</v>
      </c>
      <c r="J584" s="123">
        <f>J583</f>
        <v>0.08</v>
      </c>
      <c r="K584" s="123" t="s">
        <v>213</v>
      </c>
      <c r="L584" s="98"/>
      <c r="BG584" s="1"/>
      <c r="BH584" s="2" t="s">
        <v>8</v>
      </c>
      <c r="BI584" s="2" t="s">
        <v>9</v>
      </c>
      <c r="BJ584" s="2" t="s">
        <v>10</v>
      </c>
      <c r="BK584" s="3" t="s">
        <v>11</v>
      </c>
      <c r="BL584" s="103" t="s">
        <v>16</v>
      </c>
      <c r="BM584" s="103" t="s">
        <v>172</v>
      </c>
      <c r="BN584" s="124" t="s">
        <v>171</v>
      </c>
      <c r="BO584" s="123"/>
      <c r="BP584" s="123">
        <f>0.13*0.4</f>
        <v>5.2000000000000005E-2</v>
      </c>
      <c r="BQ584" s="103" t="s">
        <v>212</v>
      </c>
      <c r="BR584" s="98"/>
    </row>
    <row r="585" spans="1:70">
      <c r="A585" s="4" t="s">
        <v>4</v>
      </c>
      <c r="B585" s="5">
        <v>817.25</v>
      </c>
      <c r="C585" s="5">
        <v>1772.16</v>
      </c>
      <c r="D585" s="5">
        <v>1073.44</v>
      </c>
      <c r="E585" s="112">
        <f t="shared" ref="E585:E586" si="978">SUM(B585:D585)</f>
        <v>3662.85</v>
      </c>
      <c r="F585" s="123">
        <f t="shared" ref="F585:F587" si="979">D585/(B585+C585)</f>
        <v>0.4145500326329164</v>
      </c>
      <c r="G585" s="123">
        <f t="shared" ref="G585:G587" si="980">B585/C585</f>
        <v>0.46116039183820873</v>
      </c>
      <c r="J585" s="123">
        <f t="shared" ref="J585" si="981">J584</f>
        <v>0.08</v>
      </c>
      <c r="K585" s="123" t="s">
        <v>214</v>
      </c>
      <c r="L585" s="98"/>
      <c r="BG585" s="4" t="s">
        <v>3</v>
      </c>
      <c r="BH585" s="100">
        <v>269827</v>
      </c>
      <c r="BI585" s="5">
        <v>56246.2</v>
      </c>
      <c r="BJ585" s="5">
        <v>16036.2</v>
      </c>
      <c r="BK585" s="110">
        <f>SUM(BH585:BJ585)</f>
        <v>342109.4</v>
      </c>
      <c r="BL585" s="123">
        <f>BJ585/(BH585+BI585)</f>
        <v>4.9179754729919541E-2</v>
      </c>
      <c r="BM585" s="123">
        <f>BH585/BI585</f>
        <v>4.7972485252337052</v>
      </c>
      <c r="BN585" s="125">
        <f>ABS((BK588-BK580)/BK580)</f>
        <v>1.0520757995226939E-2</v>
      </c>
      <c r="BO585" s="123"/>
      <c r="BP585" s="123">
        <f>0.307*0.4</f>
        <v>0.12280000000000001</v>
      </c>
      <c r="BQ585" s="123" t="s">
        <v>213</v>
      </c>
      <c r="BR585" s="98"/>
    </row>
    <row r="586" spans="1:70">
      <c r="A586" s="4" t="s">
        <v>5</v>
      </c>
      <c r="B586" s="5">
        <v>450.11799999999999</v>
      </c>
      <c r="C586" s="5">
        <v>1128.8599999999999</v>
      </c>
      <c r="D586" s="5">
        <v>654.56200000000001</v>
      </c>
      <c r="E586" s="108">
        <f t="shared" si="978"/>
        <v>2233.54</v>
      </c>
      <c r="F586" s="123">
        <f t="shared" si="979"/>
        <v>0.41454789110424595</v>
      </c>
      <c r="G586" s="123">
        <f t="shared" si="980"/>
        <v>0.39873677869709268</v>
      </c>
      <c r="I586" s="123" t="s">
        <v>397</v>
      </c>
      <c r="K586" s="103" t="s">
        <v>215</v>
      </c>
      <c r="L586" s="98"/>
      <c r="BG586" s="4" t="s">
        <v>4</v>
      </c>
      <c r="BH586" s="5">
        <v>55505.3</v>
      </c>
      <c r="BI586" s="5">
        <v>6165.43</v>
      </c>
      <c r="BJ586" s="5">
        <v>3032.95</v>
      </c>
      <c r="BK586" s="112">
        <f t="shared" ref="BK586:BK587" si="982">SUM(BH586:BJ586)</f>
        <v>64703.68</v>
      </c>
      <c r="BL586" s="123">
        <f t="shared" ref="BL586:BL588" si="983">BJ586/(BH586+BI586)</f>
        <v>4.9179732427360588E-2</v>
      </c>
      <c r="BM586" s="123">
        <f t="shared" ref="BM586:BM588" si="984">BH586/BI586</f>
        <v>9.0026648587365354</v>
      </c>
      <c r="BN586" s="123"/>
      <c r="BO586" s="123"/>
      <c r="BP586" s="123">
        <f>0.23*0.4</f>
        <v>9.2000000000000012E-2</v>
      </c>
      <c r="BQ586" s="123" t="s">
        <v>214</v>
      </c>
      <c r="BR586" s="98"/>
    </row>
    <row r="587" spans="1:70" ht="15.75" thickBot="1">
      <c r="A587" s="7"/>
      <c r="B587" s="111">
        <f>SUM(B584:B586)</f>
        <v>1725.029</v>
      </c>
      <c r="C587" s="113">
        <f t="shared" ref="C587:D587" si="985">SUM(C584:C586)</f>
        <v>3662.8500000000004</v>
      </c>
      <c r="D587" s="109">
        <f t="shared" si="985"/>
        <v>2233.54</v>
      </c>
      <c r="E587" s="102">
        <f>SUM(E584:E586)</f>
        <v>7621.4189999999999</v>
      </c>
      <c r="F587" s="123">
        <f t="shared" si="979"/>
        <v>0.41454902754868839</v>
      </c>
      <c r="G587" s="123">
        <f t="shared" si="980"/>
        <v>0.47095267346465181</v>
      </c>
      <c r="I587" s="123" t="s">
        <v>398</v>
      </c>
      <c r="K587" s="103" t="s">
        <v>216</v>
      </c>
      <c r="L587" s="98"/>
      <c r="BG587" s="4" t="s">
        <v>5</v>
      </c>
      <c r="BH587" s="5">
        <v>16777</v>
      </c>
      <c r="BI587" s="5">
        <v>2292.0700000000002</v>
      </c>
      <c r="BJ587" s="5">
        <v>937.81299999999999</v>
      </c>
      <c r="BK587" s="108">
        <f t="shared" si="982"/>
        <v>20006.882999999998</v>
      </c>
      <c r="BL587" s="123">
        <f t="shared" si="983"/>
        <v>4.9179797441616185E-2</v>
      </c>
      <c r="BM587" s="123">
        <f t="shared" si="984"/>
        <v>7.3195844804041759</v>
      </c>
      <c r="BN587" s="123"/>
      <c r="BO587" s="123" t="s">
        <v>397</v>
      </c>
      <c r="BP587" s="123"/>
      <c r="BQ587" s="103" t="s">
        <v>215</v>
      </c>
      <c r="BR587" s="98"/>
    </row>
    <row r="588" spans="1:70" ht="16.5" thickTop="1" thickBot="1">
      <c r="A588" s="130"/>
      <c r="F588" s="124" t="s">
        <v>420</v>
      </c>
      <c r="G588" s="103">
        <f>AVERAGE(G584:G586)</f>
        <v>0.48687872685021966</v>
      </c>
      <c r="I588" s="123" t="s">
        <v>399</v>
      </c>
      <c r="K588" s="103" t="s">
        <v>217</v>
      </c>
      <c r="L588" s="98"/>
      <c r="BG588" s="7"/>
      <c r="BH588" s="111">
        <f>SUM(BH585:BH587)</f>
        <v>342109.3</v>
      </c>
      <c r="BI588" s="113">
        <f t="shared" ref="BI588:BJ588" si="986">SUM(BI585:BI587)</f>
        <v>64703.7</v>
      </c>
      <c r="BJ588" s="109">
        <f t="shared" si="986"/>
        <v>20006.963</v>
      </c>
      <c r="BK588" s="102">
        <f>SUM(BK585:BK587)</f>
        <v>426819.96299999999</v>
      </c>
      <c r="BL588" s="123">
        <f t="shared" si="983"/>
        <v>4.9179753351048267E-2</v>
      </c>
      <c r="BM588" s="123">
        <f t="shared" si="984"/>
        <v>5.2873220542256467</v>
      </c>
      <c r="BN588" s="123"/>
      <c r="BO588" s="123" t="s">
        <v>398</v>
      </c>
      <c r="BP588" s="123"/>
      <c r="BQ588" s="103" t="s">
        <v>216</v>
      </c>
      <c r="BR588" s="98"/>
    </row>
    <row r="589" spans="1:70" ht="15.75" thickTop="1">
      <c r="A589" s="130" t="s">
        <v>12</v>
      </c>
      <c r="B589" s="123">
        <f>B584/B576</f>
        <v>1.0341429575348378</v>
      </c>
      <c r="C589" s="123" t="s">
        <v>163</v>
      </c>
      <c r="D589" s="123">
        <f>C584/C576</f>
        <v>1.013528705094451</v>
      </c>
      <c r="E589" s="124" t="s">
        <v>255</v>
      </c>
      <c r="J589" s="124" t="s">
        <v>396</v>
      </c>
      <c r="L589" s="98"/>
      <c r="BG589" s="130"/>
      <c r="BH589" s="123"/>
      <c r="BI589" s="123"/>
      <c r="BJ589" s="123"/>
      <c r="BK589" s="123"/>
      <c r="BL589" s="124" t="s">
        <v>420</v>
      </c>
      <c r="BM589" s="103">
        <f>AVERAGE(BM585:BM587)</f>
        <v>7.0398326214581388</v>
      </c>
      <c r="BN589" s="123"/>
      <c r="BO589" s="123" t="s">
        <v>399</v>
      </c>
      <c r="BP589" s="123"/>
      <c r="BQ589" s="103" t="s">
        <v>217</v>
      </c>
      <c r="BR589" s="98"/>
    </row>
    <row r="590" spans="1:70">
      <c r="A590" s="130" t="s">
        <v>13</v>
      </c>
      <c r="B590" s="123">
        <f t="shared" ref="B590:B591" si="987">B585/B577</f>
        <v>1.0413242305859447</v>
      </c>
      <c r="C590" s="123" t="s">
        <v>164</v>
      </c>
      <c r="D590" s="123">
        <f t="shared" ref="D590:D591" si="988">C585/C577</f>
        <v>1.0135258019685334</v>
      </c>
      <c r="E590" s="123">
        <f>VAR(G576:G578)</f>
        <v>1.0657035711601315E-2</v>
      </c>
      <c r="F590" s="124">
        <f>STDEV(G576:G578)/G580</f>
        <v>0.21734273489439937</v>
      </c>
      <c r="G590" s="124" t="s">
        <v>449</v>
      </c>
      <c r="L590" s="98"/>
      <c r="BG590" s="130" t="s">
        <v>12</v>
      </c>
      <c r="BH590" s="123">
        <f>BH585/BH577</f>
        <v>0.985824257326265</v>
      </c>
      <c r="BI590" s="123" t="s">
        <v>163</v>
      </c>
      <c r="BJ590" s="123">
        <f>BI585/BI577</f>
        <v>1.0057991591845055</v>
      </c>
      <c r="BK590" s="124" t="s">
        <v>255</v>
      </c>
      <c r="BL590" s="123"/>
      <c r="BM590" s="123"/>
      <c r="BN590" s="123"/>
      <c r="BO590" s="123"/>
      <c r="BP590" s="124" t="s">
        <v>423</v>
      </c>
      <c r="BQ590" s="123"/>
      <c r="BR590" s="98"/>
    </row>
    <row r="591" spans="1:70">
      <c r="A591" s="130" t="s">
        <v>14</v>
      </c>
      <c r="B591" s="123">
        <f t="shared" si="987"/>
        <v>1.043408315406869</v>
      </c>
      <c r="C591" s="123" t="s">
        <v>165</v>
      </c>
      <c r="D591" s="123">
        <f t="shared" si="988"/>
        <v>1.0135303782580198</v>
      </c>
      <c r="G591" s="124" t="s">
        <v>438</v>
      </c>
      <c r="L591" s="98"/>
      <c r="BG591" s="130" t="s">
        <v>13</v>
      </c>
      <c r="BH591" s="123">
        <f t="shared" ref="BH591:BH592" si="989">BH586/BH578</f>
        <v>0.98598437141948647</v>
      </c>
      <c r="BI591" s="123" t="s">
        <v>164</v>
      </c>
      <c r="BJ591" s="123">
        <f t="shared" ref="BJ591:BJ592" si="990">BI586/BI578</f>
        <v>1.0057978201892692</v>
      </c>
      <c r="BK591" s="123">
        <f>VAR(BM577:BM579)</f>
        <v>4.6605850538640823</v>
      </c>
      <c r="BL591" s="124">
        <f>STDEV(BM577:BM579)/BM581</f>
        <v>0.30058511271628585</v>
      </c>
      <c r="BM591" s="124" t="s">
        <v>449</v>
      </c>
      <c r="BN591" s="123"/>
      <c r="BO591" s="123"/>
      <c r="BP591" s="123" t="s">
        <v>415</v>
      </c>
      <c r="BQ591" s="123"/>
      <c r="BR591" s="98"/>
    </row>
    <row r="592" spans="1:70">
      <c r="A592" s="130" t="s">
        <v>15</v>
      </c>
      <c r="B592" s="123">
        <f>E584/E576</f>
        <v>1.0399496733105775</v>
      </c>
      <c r="C592" s="123" t="s">
        <v>67</v>
      </c>
      <c r="D592" s="123">
        <f>E585/E577</f>
        <v>1.0135286574996167</v>
      </c>
      <c r="E592" s="124" t="s">
        <v>256</v>
      </c>
      <c r="L592" s="98"/>
      <c r="BG592" s="130" t="s">
        <v>14</v>
      </c>
      <c r="BH592" s="123">
        <f t="shared" si="989"/>
        <v>0.98576322175412623</v>
      </c>
      <c r="BI592" s="123" t="s">
        <v>165</v>
      </c>
      <c r="BJ592" s="123">
        <f t="shared" si="990"/>
        <v>1.0057967580281368</v>
      </c>
      <c r="BK592" s="123">
        <f>BK591/BM581</f>
        <v>0.64891481026355391</v>
      </c>
      <c r="BL592" s="123"/>
      <c r="BM592" s="124" t="s">
        <v>438</v>
      </c>
      <c r="BN592" s="123"/>
      <c r="BO592" s="123"/>
      <c r="BP592" s="123" t="s">
        <v>403</v>
      </c>
      <c r="BQ592" s="123">
        <v>1</v>
      </c>
      <c r="BR592" s="98" t="s">
        <v>416</v>
      </c>
    </row>
    <row r="593" spans="1:70">
      <c r="A593" s="130" t="s">
        <v>170</v>
      </c>
      <c r="B593" s="123">
        <f>VAR(B589:B591)</f>
        <v>2.3626824778695367E-5</v>
      </c>
      <c r="C593" s="123" t="s">
        <v>170</v>
      </c>
      <c r="D593" s="123">
        <f>VAR(D589:D591)</f>
        <v>5.3616736476251893E-12</v>
      </c>
      <c r="E593" s="123">
        <f>VAR(G584:G586)</f>
        <v>1.0697299931232085E-2</v>
      </c>
      <c r="F593" s="124">
        <f>STDEV(G584:G586)/G588</f>
        <v>0.21243021419016839</v>
      </c>
      <c r="G593" s="124" t="s">
        <v>449</v>
      </c>
      <c r="L593" s="98"/>
      <c r="BG593" s="130" t="s">
        <v>15</v>
      </c>
      <c r="BH593" s="123">
        <f>BK585/BK577</f>
        <v>0.98584724196568108</v>
      </c>
      <c r="BI593" s="123" t="s">
        <v>67</v>
      </c>
      <c r="BJ593" s="123">
        <f>BK586/BK578</f>
        <v>1.0057995737331182</v>
      </c>
      <c r="BK593" s="124" t="s">
        <v>256</v>
      </c>
      <c r="BL593" s="123"/>
      <c r="BM593" s="123"/>
      <c r="BN593" s="123"/>
      <c r="BO593" s="123"/>
      <c r="BP593" s="123" t="s">
        <v>401</v>
      </c>
      <c r="BQ593" s="123">
        <v>500</v>
      </c>
      <c r="BR593" s="98" t="s">
        <v>417</v>
      </c>
    </row>
    <row r="594" spans="1:70">
      <c r="A594" s="130"/>
      <c r="G594" s="124" t="s">
        <v>438</v>
      </c>
      <c r="L594" s="98"/>
      <c r="BG594" s="130" t="s">
        <v>170</v>
      </c>
      <c r="BH594" s="123">
        <f>VAR(BH590:BH592)</f>
        <v>1.3044839733898231E-8</v>
      </c>
      <c r="BI594" s="123" t="s">
        <v>170</v>
      </c>
      <c r="BJ594" s="123">
        <f>VAR(BJ590:BJ592)</f>
        <v>1.4477744034028014E-12</v>
      </c>
      <c r="BK594" s="123">
        <f>VAR(BM585:BM587)</f>
        <v>4.4800774614609224</v>
      </c>
      <c r="BL594" s="124">
        <f>STDEV(BM585:BM587)/BM589</f>
        <v>0.300663305668811</v>
      </c>
      <c r="BM594" s="124" t="s">
        <v>449</v>
      </c>
      <c r="BN594" s="123"/>
      <c r="BO594" s="123"/>
      <c r="BP594" s="123"/>
      <c r="BQ594" s="123"/>
      <c r="BR594" s="98"/>
    </row>
    <row r="595" spans="1:70">
      <c r="A595" s="130"/>
      <c r="D595" s="123" t="s">
        <v>444</v>
      </c>
      <c r="L595" s="98"/>
      <c r="BG595" s="130"/>
      <c r="BH595" s="123"/>
      <c r="BI595" s="123"/>
      <c r="BJ595" s="123"/>
      <c r="BK595" s="123">
        <f>BK594/BM589</f>
        <v>0.63638976980861484</v>
      </c>
      <c r="BL595" s="123"/>
      <c r="BM595" s="124" t="s">
        <v>438</v>
      </c>
      <c r="BN595" s="123"/>
      <c r="BO595" s="123"/>
      <c r="BP595" s="123"/>
      <c r="BQ595" s="123"/>
      <c r="BR595" s="98"/>
    </row>
    <row r="596" spans="1:70">
      <c r="A596" s="130"/>
      <c r="B596" s="123">
        <f>B589</f>
        <v>1.0341429575348378</v>
      </c>
      <c r="D596" s="123">
        <f>ABS(C584-B585)/C584</f>
        <v>7.2745888190278607E-2</v>
      </c>
      <c r="E596" s="123" t="s">
        <v>446</v>
      </c>
      <c r="L596" s="98"/>
      <c r="BG596" s="130"/>
      <c r="BH596" s="123"/>
      <c r="BI596" s="123"/>
      <c r="BJ596" s="123" t="s">
        <v>444</v>
      </c>
      <c r="BK596" s="123"/>
      <c r="BL596" s="123"/>
      <c r="BM596" s="123"/>
      <c r="BN596" s="123"/>
      <c r="BO596" s="123"/>
      <c r="BP596" s="123"/>
      <c r="BQ596" s="123"/>
      <c r="BR596" s="98"/>
    </row>
    <row r="597" spans="1:70">
      <c r="A597" s="130"/>
      <c r="B597" s="123">
        <f t="shared" ref="B597:B598" si="991">B590</f>
        <v>1.0413242305859447</v>
      </c>
      <c r="D597" s="123">
        <f>ABS((C576-B577)/C576)</f>
        <v>4.4111640752945866E-2</v>
      </c>
      <c r="E597" s="123" t="s">
        <v>445</v>
      </c>
      <c r="L597" s="98"/>
      <c r="BG597" s="130"/>
      <c r="BH597" s="123">
        <f>BH590</f>
        <v>0.985824257326265</v>
      </c>
      <c r="BI597" s="123"/>
      <c r="BJ597" s="123">
        <f>ABS(BI585-BH586)/BI585</f>
        <v>1.3172445427424328E-2</v>
      </c>
      <c r="BK597" s="123" t="s">
        <v>446</v>
      </c>
      <c r="BL597" s="123"/>
      <c r="BM597" s="123"/>
      <c r="BN597" s="123"/>
      <c r="BO597" s="123"/>
      <c r="BP597" s="123"/>
      <c r="BQ597" s="123"/>
      <c r="BR597" s="98"/>
    </row>
    <row r="598" spans="1:70">
      <c r="A598" s="130"/>
      <c r="B598" s="123">
        <f t="shared" si="991"/>
        <v>1.043408315406869</v>
      </c>
      <c r="L598" s="98"/>
      <c r="BG598" s="130"/>
      <c r="BH598" s="123">
        <f t="shared" ref="BH598:BH599" si="992">BH591</f>
        <v>0.98598437141948647</v>
      </c>
      <c r="BI598" s="123"/>
      <c r="BJ598" s="123">
        <f>ABS((BI577-BH578)/BI577)</f>
        <v>6.6592873275049926E-3</v>
      </c>
      <c r="BK598" s="123" t="s">
        <v>445</v>
      </c>
      <c r="BL598" s="123"/>
      <c r="BM598" s="123"/>
      <c r="BN598" s="123"/>
      <c r="BO598" s="123"/>
      <c r="BP598" s="123"/>
      <c r="BQ598" s="123"/>
      <c r="BR598" s="98"/>
    </row>
    <row r="599" spans="1:70">
      <c r="A599" s="130"/>
      <c r="B599" s="123">
        <f>D589</f>
        <v>1.013528705094451</v>
      </c>
      <c r="L599" s="98"/>
      <c r="BG599" s="130"/>
      <c r="BH599" s="123">
        <f t="shared" si="992"/>
        <v>0.98576322175412623</v>
      </c>
      <c r="BI599" s="123"/>
      <c r="BJ599" s="123"/>
      <c r="BK599" s="123"/>
      <c r="BL599" s="123"/>
      <c r="BM599" s="123"/>
      <c r="BN599" s="123"/>
      <c r="BO599" s="123"/>
      <c r="BP599" s="123"/>
      <c r="BQ599" s="123"/>
      <c r="BR599" s="98"/>
    </row>
    <row r="600" spans="1:70">
      <c r="A600" s="130"/>
      <c r="B600" s="123">
        <f t="shared" ref="B600:B601" si="993">D590</f>
        <v>1.0135258019685334</v>
      </c>
      <c r="L600" s="98"/>
      <c r="BG600" s="130"/>
      <c r="BH600" s="123">
        <f>BJ590</f>
        <v>1.0057991591845055</v>
      </c>
      <c r="BI600" s="123"/>
      <c r="BJ600" s="123"/>
      <c r="BK600" s="123"/>
      <c r="BL600" s="123"/>
      <c r="BM600" s="123"/>
      <c r="BN600" s="123"/>
      <c r="BO600" s="123"/>
      <c r="BP600" s="123"/>
      <c r="BQ600" s="123"/>
      <c r="BR600" s="98"/>
    </row>
    <row r="601" spans="1:70">
      <c r="A601" s="130"/>
      <c r="B601" s="123">
        <f t="shared" si="993"/>
        <v>1.0135303782580198</v>
      </c>
      <c r="L601" s="98"/>
      <c r="BG601" s="130"/>
      <c r="BH601" s="123">
        <f t="shared" ref="BH601:BH602" si="994">BJ591</f>
        <v>1.0057978201892692</v>
      </c>
      <c r="BI601" s="123"/>
      <c r="BJ601" s="123"/>
      <c r="BK601" s="123"/>
      <c r="BL601" s="123"/>
      <c r="BM601" s="123"/>
      <c r="BN601" s="123"/>
      <c r="BO601" s="123"/>
      <c r="BP601" s="123"/>
      <c r="BQ601" s="123"/>
      <c r="BR601" s="98"/>
    </row>
    <row r="602" spans="1:70" ht="15.75" thickBot="1">
      <c r="A602" s="131" t="s">
        <v>170</v>
      </c>
      <c r="B602" s="126">
        <f>VAR(B596:B601)</f>
        <v>2.1376476202878076E-4</v>
      </c>
      <c r="C602" s="126"/>
      <c r="D602" s="126"/>
      <c r="E602" s="126"/>
      <c r="F602" s="126"/>
      <c r="G602" s="126"/>
      <c r="H602" s="126"/>
      <c r="I602" s="126"/>
      <c r="J602" s="126"/>
      <c r="K602" s="126"/>
      <c r="L602" s="127"/>
      <c r="BG602" s="130"/>
      <c r="BH602" s="123">
        <f t="shared" si="994"/>
        <v>1.0057967580281368</v>
      </c>
      <c r="BI602" s="123"/>
      <c r="BJ602" s="123"/>
      <c r="BK602" s="123"/>
      <c r="BL602" s="123"/>
      <c r="BM602" s="123"/>
      <c r="BN602" s="123"/>
      <c r="BO602" s="123"/>
      <c r="BP602" s="123"/>
      <c r="BQ602" s="123"/>
      <c r="BR602" s="98"/>
    </row>
    <row r="603" spans="1:70" ht="16.5" thickTop="1" thickBot="1">
      <c r="A603" s="128"/>
      <c r="B603" s="121"/>
      <c r="C603" s="121"/>
      <c r="D603" s="121"/>
      <c r="E603" s="121"/>
      <c r="F603" s="133" t="s">
        <v>239</v>
      </c>
      <c r="G603" s="121"/>
      <c r="H603" s="121"/>
      <c r="I603" s="129" t="s">
        <v>407</v>
      </c>
      <c r="J603" s="121"/>
      <c r="K603" s="121"/>
      <c r="L603" s="122"/>
      <c r="BG603" s="131" t="s">
        <v>170</v>
      </c>
      <c r="BH603" s="126">
        <f>VAR(BH597:BH602)</f>
        <v>1.1929382359899419E-4</v>
      </c>
      <c r="BI603" s="126"/>
      <c r="BJ603" s="126"/>
      <c r="BK603" s="126"/>
      <c r="BL603" s="126"/>
      <c r="BM603" s="126"/>
      <c r="BN603" s="126"/>
      <c r="BO603" s="126"/>
      <c r="BP603" s="126"/>
      <c r="BQ603" s="126"/>
      <c r="BR603" s="127"/>
    </row>
    <row r="604" spans="1:70" ht="16.5" thickTop="1" thickBot="1">
      <c r="A604" s="130" t="s">
        <v>167</v>
      </c>
      <c r="H604" s="123" t="s">
        <v>168</v>
      </c>
      <c r="L604" s="98"/>
      <c r="BG604" s="128"/>
      <c r="BH604" s="121"/>
      <c r="BI604" s="121"/>
      <c r="BJ604" s="121"/>
      <c r="BK604" s="121"/>
      <c r="BL604" s="133" t="s">
        <v>239</v>
      </c>
      <c r="BM604" s="121"/>
      <c r="BN604" s="121"/>
      <c r="BO604" s="129" t="s">
        <v>424</v>
      </c>
      <c r="BP604" s="121"/>
      <c r="BQ604" s="121"/>
      <c r="BR604" s="122"/>
    </row>
    <row r="605" spans="1:70" ht="16.5" thickTop="1" thickBot="1">
      <c r="A605" s="1"/>
      <c r="B605" s="2" t="s">
        <v>0</v>
      </c>
      <c r="C605" s="2" t="s">
        <v>1</v>
      </c>
      <c r="D605" s="2" t="s">
        <v>2</v>
      </c>
      <c r="E605" s="3" t="s">
        <v>6</v>
      </c>
      <c r="F605" s="103" t="s">
        <v>70</v>
      </c>
      <c r="G605" s="103" t="s">
        <v>172</v>
      </c>
      <c r="H605" s="123" t="s">
        <v>3</v>
      </c>
      <c r="I605" s="123">
        <v>6</v>
      </c>
      <c r="K605" s="123" t="s">
        <v>19</v>
      </c>
      <c r="L605" s="123">
        <f>F617</f>
        <v>3.3272061334878818E-2</v>
      </c>
      <c r="BG605" s="130" t="s">
        <v>167</v>
      </c>
      <c r="BH605" s="123"/>
      <c r="BI605" s="123"/>
      <c r="BJ605" s="123"/>
      <c r="BK605" s="123"/>
      <c r="BL605" s="123"/>
      <c r="BM605" s="123"/>
      <c r="BN605" s="123" t="s">
        <v>168</v>
      </c>
      <c r="BO605" s="123"/>
      <c r="BP605" s="123"/>
      <c r="BQ605" s="123"/>
      <c r="BR605" s="98"/>
    </row>
    <row r="606" spans="1:70" ht="15.75" thickTop="1">
      <c r="A606" s="4" t="s">
        <v>3</v>
      </c>
      <c r="B606" s="100">
        <v>51022.7</v>
      </c>
      <c r="C606" s="5">
        <v>6771.7</v>
      </c>
      <c r="D606" s="5">
        <v>1963.75</v>
      </c>
      <c r="E606" s="104">
        <f>SUM(B606:D606)</f>
        <v>59758.149999999994</v>
      </c>
      <c r="F606" s="123">
        <f>D606/C606</f>
        <v>0.28999365004356364</v>
      </c>
      <c r="G606" s="123">
        <f>B606/C606</f>
        <v>7.5346958666213801</v>
      </c>
      <c r="H606" s="123" t="s">
        <v>4</v>
      </c>
      <c r="I606" s="123">
        <v>12</v>
      </c>
      <c r="L606" s="98"/>
      <c r="BG606" s="1"/>
      <c r="BH606" s="2" t="s">
        <v>0</v>
      </c>
      <c r="BI606" s="2" t="s">
        <v>1</v>
      </c>
      <c r="BJ606" s="2" t="s">
        <v>2</v>
      </c>
      <c r="BK606" s="3" t="s">
        <v>6</v>
      </c>
      <c r="BL606" s="103" t="s">
        <v>70</v>
      </c>
      <c r="BM606" s="103" t="s">
        <v>172</v>
      </c>
      <c r="BN606" s="123" t="s">
        <v>3</v>
      </c>
      <c r="BO606" s="123">
        <v>30</v>
      </c>
      <c r="BP606" s="123"/>
      <c r="BQ606" s="123" t="s">
        <v>19</v>
      </c>
      <c r="BR606" s="123">
        <v>0.13179299999999999</v>
      </c>
    </row>
    <row r="607" spans="1:70">
      <c r="A607" s="4" t="s">
        <v>4</v>
      </c>
      <c r="B607" s="5">
        <v>6884.81</v>
      </c>
      <c r="C607" s="5">
        <v>697.91399999999999</v>
      </c>
      <c r="D607" s="5">
        <v>202.39</v>
      </c>
      <c r="E607" s="106">
        <f t="shared" ref="E607:E609" si="995">SUM(B607:D607)</f>
        <v>7785.1140000000005</v>
      </c>
      <c r="F607" s="123">
        <f t="shared" ref="F607:F609" si="996">D607/C607</f>
        <v>0.28999274982304407</v>
      </c>
      <c r="G607" s="123">
        <f t="shared" ref="G607:G609" si="997">B607/C607</f>
        <v>9.8648400805829954</v>
      </c>
      <c r="H607" s="123" t="s">
        <v>5</v>
      </c>
      <c r="I607" s="123">
        <v>4</v>
      </c>
      <c r="L607" s="98"/>
      <c r="BG607" s="4" t="s">
        <v>3</v>
      </c>
      <c r="BH607" s="100">
        <v>36295.300000000003</v>
      </c>
      <c r="BI607" s="5">
        <v>19171.2</v>
      </c>
      <c r="BJ607" s="5">
        <v>8352.77</v>
      </c>
      <c r="BK607" s="104">
        <f>SUM(BH607:BJ607)</f>
        <v>63819.270000000004</v>
      </c>
      <c r="BL607" s="123">
        <f>BJ607/BI607</f>
        <v>0.43569364463361709</v>
      </c>
      <c r="BM607" s="123">
        <f>BH607/BI607</f>
        <v>1.8932200383909199</v>
      </c>
      <c r="BN607" s="123" t="s">
        <v>4</v>
      </c>
      <c r="BO607" s="123">
        <v>60</v>
      </c>
      <c r="BP607" s="123"/>
      <c r="BQ607" s="123"/>
      <c r="BR607" s="98"/>
    </row>
    <row r="608" spans="1:70">
      <c r="A608" s="4" t="s">
        <v>5</v>
      </c>
      <c r="B608" s="5">
        <v>1850.63</v>
      </c>
      <c r="C608" s="5">
        <v>315.50799999999998</v>
      </c>
      <c r="D608" s="5">
        <v>91.4953</v>
      </c>
      <c r="E608" s="108">
        <f t="shared" si="995"/>
        <v>2257.6333</v>
      </c>
      <c r="F608" s="123">
        <f t="shared" si="996"/>
        <v>0.28999359762668458</v>
      </c>
      <c r="G608" s="123">
        <f t="shared" si="997"/>
        <v>5.8655564993597631</v>
      </c>
      <c r="L608" s="98"/>
      <c r="BG608" s="4" t="s">
        <v>4</v>
      </c>
      <c r="BH608" s="5">
        <v>19800.3</v>
      </c>
      <c r="BI608" s="5">
        <v>5245.05</v>
      </c>
      <c r="BJ608" s="5">
        <v>2285.2399999999998</v>
      </c>
      <c r="BK608" s="106">
        <f t="shared" ref="BK608:BK610" si="998">SUM(BH608:BJ608)</f>
        <v>27330.589999999997</v>
      </c>
      <c r="BL608" s="123">
        <f t="shared" ref="BL608:BL610" si="999">BJ608/BI608</f>
        <v>0.43569460729640319</v>
      </c>
      <c r="BM608" s="123">
        <f t="shared" ref="BM608:BM610" si="1000">BH608/BI608</f>
        <v>3.7750450424686131</v>
      </c>
      <c r="BN608" s="123" t="s">
        <v>5</v>
      </c>
      <c r="BO608" s="123">
        <v>25</v>
      </c>
      <c r="BP608" s="123"/>
      <c r="BQ608" s="123"/>
      <c r="BR608" s="98"/>
    </row>
    <row r="609" spans="1:70" ht="15.75" thickBot="1">
      <c r="A609" s="7"/>
      <c r="B609" s="105">
        <f>SUM(B606:B608)</f>
        <v>59758.139999999992</v>
      </c>
      <c r="C609" s="107">
        <f>SUM(C606:C608)</f>
        <v>7785.1219999999994</v>
      </c>
      <c r="D609" s="109">
        <f>SUM(D606:D608)</f>
        <v>2257.6352999999999</v>
      </c>
      <c r="E609" s="101">
        <f t="shared" si="995"/>
        <v>69800.897299999982</v>
      </c>
      <c r="F609" s="123">
        <f t="shared" si="996"/>
        <v>0.28999356721705838</v>
      </c>
      <c r="G609" s="123">
        <f t="shared" si="997"/>
        <v>7.6759413661083276</v>
      </c>
      <c r="L609" s="98"/>
      <c r="BG609" s="4" t="s">
        <v>5</v>
      </c>
      <c r="BH609" s="5">
        <v>7723.67</v>
      </c>
      <c r="BI609" s="5">
        <v>2914.34</v>
      </c>
      <c r="BJ609" s="5">
        <v>1269.76</v>
      </c>
      <c r="BK609" s="108">
        <f t="shared" si="998"/>
        <v>11907.77</v>
      </c>
      <c r="BL609" s="123">
        <f t="shared" si="999"/>
        <v>0.43569384491857505</v>
      </c>
      <c r="BM609" s="123">
        <f t="shared" si="1000"/>
        <v>2.6502295545475132</v>
      </c>
      <c r="BN609" s="123"/>
      <c r="BO609" s="123"/>
      <c r="BP609" s="123"/>
      <c r="BQ609" s="123"/>
      <c r="BR609" s="98"/>
    </row>
    <row r="610" spans="1:70" ht="16.5" thickTop="1" thickBot="1">
      <c r="A610" s="130"/>
      <c r="F610" s="124" t="s">
        <v>420</v>
      </c>
      <c r="G610" s="103">
        <f>AVERAGE(G606:G608)</f>
        <v>7.7550308155213798</v>
      </c>
      <c r="L610" s="98"/>
      <c r="BG610" s="7"/>
      <c r="BH610" s="105">
        <f>SUM(BH607:BH609)</f>
        <v>63819.270000000004</v>
      </c>
      <c r="BI610" s="107">
        <f>SUM(BI607:BI609)</f>
        <v>27330.59</v>
      </c>
      <c r="BJ610" s="109">
        <f>SUM(BJ607:BJ609)</f>
        <v>11907.77</v>
      </c>
      <c r="BK610" s="101">
        <f t="shared" si="998"/>
        <v>103057.63</v>
      </c>
      <c r="BL610" s="123">
        <f t="shared" si="999"/>
        <v>0.43569385073648248</v>
      </c>
      <c r="BM610" s="123">
        <f t="shared" si="1000"/>
        <v>2.3350857043334958</v>
      </c>
      <c r="BN610" s="123"/>
      <c r="BO610" s="123"/>
      <c r="BP610" s="123"/>
      <c r="BQ610" s="123"/>
      <c r="BR610" s="98"/>
    </row>
    <row r="611" spans="1:70" ht="15.75" thickTop="1">
      <c r="A611" s="130"/>
      <c r="L611" s="98"/>
      <c r="BG611" s="130"/>
      <c r="BH611" s="123"/>
      <c r="BI611" s="123"/>
      <c r="BJ611" s="123"/>
      <c r="BK611" s="123"/>
      <c r="BL611" s="124" t="s">
        <v>420</v>
      </c>
      <c r="BM611" s="103">
        <f>AVERAGE(BM607:BM609)</f>
        <v>2.772831545135682</v>
      </c>
      <c r="BN611" s="123"/>
      <c r="BO611" s="123"/>
      <c r="BP611" s="123"/>
      <c r="BQ611" s="123"/>
      <c r="BR611" s="98"/>
    </row>
    <row r="612" spans="1:70" ht="15.75" thickBot="1">
      <c r="A612" s="140" t="s">
        <v>254</v>
      </c>
      <c r="J612" s="124" t="s">
        <v>218</v>
      </c>
      <c r="L612" s="98"/>
      <c r="BG612" s="130"/>
      <c r="BH612" s="123"/>
      <c r="BI612" s="123"/>
      <c r="BJ612" s="123"/>
      <c r="BK612" s="123"/>
      <c r="BL612" s="123"/>
      <c r="BM612" s="123"/>
      <c r="BN612" s="123"/>
      <c r="BO612" s="123"/>
      <c r="BP612" s="123" t="s">
        <v>419</v>
      </c>
      <c r="BQ612" s="123">
        <v>0.3</v>
      </c>
      <c r="BR612" s="98"/>
    </row>
    <row r="613" spans="1:70" ht="16.5" thickTop="1" thickBot="1">
      <c r="A613" s="1"/>
      <c r="B613" s="2" t="s">
        <v>8</v>
      </c>
      <c r="C613" s="2" t="s">
        <v>9</v>
      </c>
      <c r="D613" s="2" t="s">
        <v>10</v>
      </c>
      <c r="E613" s="2" t="s">
        <v>11</v>
      </c>
      <c r="F613" s="103" t="s">
        <v>16</v>
      </c>
      <c r="G613" s="103" t="s">
        <v>172</v>
      </c>
      <c r="H613" s="124" t="s">
        <v>171</v>
      </c>
      <c r="J613" s="123">
        <v>0.3</v>
      </c>
      <c r="K613" s="103" t="s">
        <v>212</v>
      </c>
      <c r="L613" s="98"/>
      <c r="BG613" s="140" t="s">
        <v>254</v>
      </c>
      <c r="BH613" s="123"/>
      <c r="BI613" s="123"/>
      <c r="BJ613" s="123"/>
      <c r="BK613" s="123"/>
      <c r="BL613" s="123"/>
      <c r="BM613" s="123"/>
      <c r="BN613" s="123"/>
      <c r="BO613" s="123"/>
      <c r="BP613" s="124" t="s">
        <v>218</v>
      </c>
      <c r="BQ613" s="123"/>
      <c r="BR613" s="98"/>
    </row>
    <row r="614" spans="1:70" ht="15.75" thickTop="1">
      <c r="A614" s="4" t="s">
        <v>3</v>
      </c>
      <c r="B614" s="100">
        <v>51213.7</v>
      </c>
      <c r="C614" s="5">
        <v>6842.21</v>
      </c>
      <c r="D614" s="5">
        <v>1931.64</v>
      </c>
      <c r="E614" s="256">
        <f>SUM(B614:D614)</f>
        <v>59987.549999999996</v>
      </c>
      <c r="F614" s="123">
        <f>D614/(B614+C614)</f>
        <v>3.327206480787228E-2</v>
      </c>
      <c r="G614" s="123">
        <f>B614/C614</f>
        <v>7.4849646532333844</v>
      </c>
      <c r="H614" s="125">
        <f>ABS((E617-E609)/E609)</f>
        <v>4.4478081516010869E-3</v>
      </c>
      <c r="J614" s="123">
        <f>J613</f>
        <v>0.3</v>
      </c>
      <c r="K614" s="123" t="s">
        <v>213</v>
      </c>
      <c r="L614" s="98"/>
      <c r="BG614" s="1"/>
      <c r="BH614" s="2" t="s">
        <v>8</v>
      </c>
      <c r="BI614" s="2" t="s">
        <v>9</v>
      </c>
      <c r="BJ614" s="2" t="s">
        <v>10</v>
      </c>
      <c r="BK614" s="3" t="s">
        <v>11</v>
      </c>
      <c r="BL614" s="103" t="s">
        <v>16</v>
      </c>
      <c r="BM614" s="103" t="s">
        <v>172</v>
      </c>
      <c r="BN614" s="124" t="s">
        <v>171</v>
      </c>
      <c r="BO614" s="123"/>
      <c r="BP614" s="123">
        <f>0.13*0.3</f>
        <v>3.9E-2</v>
      </c>
      <c r="BQ614" s="103" t="s">
        <v>212</v>
      </c>
      <c r="BR614" s="98"/>
    </row>
    <row r="615" spans="1:70">
      <c r="A615" s="4" t="s">
        <v>4</v>
      </c>
      <c r="B615" s="5">
        <v>6907.7</v>
      </c>
      <c r="C615" s="5">
        <v>705.18100000000004</v>
      </c>
      <c r="D615" s="5">
        <v>253.29599999999999</v>
      </c>
      <c r="E615" s="257">
        <f t="shared" ref="E615:E616" si="1001">SUM(B615:D615)</f>
        <v>7866.1769999999997</v>
      </c>
      <c r="F615" s="123">
        <f t="shared" ref="F615:F617" si="1002">D615/(B615+C615)</f>
        <v>3.3272029340797524E-2</v>
      </c>
      <c r="G615" s="123">
        <f t="shared" ref="G615:G617" si="1003">B615/C615</f>
        <v>9.7956411190885735</v>
      </c>
      <c r="J615" s="123">
        <f t="shared" ref="J615" si="1004">J614</f>
        <v>0.3</v>
      </c>
      <c r="K615" s="123" t="s">
        <v>214</v>
      </c>
      <c r="L615" s="98"/>
      <c r="BG615" s="4" t="s">
        <v>3</v>
      </c>
      <c r="BH615" s="100">
        <v>35492.300000000003</v>
      </c>
      <c r="BI615" s="5">
        <v>19622.3</v>
      </c>
      <c r="BJ615" s="5">
        <v>7263.72</v>
      </c>
      <c r="BK615" s="110">
        <f>SUM(BH615:BJ615)</f>
        <v>62378.320000000007</v>
      </c>
      <c r="BL615" s="123">
        <f>BJ615/(BH615+BI615)</f>
        <v>0.13179302761881606</v>
      </c>
      <c r="BM615" s="123">
        <f>BH615/BI615</f>
        <v>1.8087736911575099</v>
      </c>
      <c r="BN615" s="125">
        <f>ABS((BK618-BK610)/BK610)</f>
        <v>7.7415907973043983E-3</v>
      </c>
      <c r="BO615" s="123"/>
      <c r="BP615" s="123">
        <f>0.307*0.3</f>
        <v>9.2100000000000001E-2</v>
      </c>
      <c r="BQ615" s="123" t="s">
        <v>213</v>
      </c>
      <c r="BR615" s="98"/>
    </row>
    <row r="616" spans="1:70">
      <c r="A616" s="4" t="s">
        <v>5</v>
      </c>
      <c r="B616" s="5">
        <v>1866.14</v>
      </c>
      <c r="C616" s="5">
        <v>318.79399999999998</v>
      </c>
      <c r="D616" s="5">
        <v>72.697299999999998</v>
      </c>
      <c r="E616" s="258">
        <f t="shared" si="1001"/>
        <v>2257.6313</v>
      </c>
      <c r="F616" s="123">
        <f t="shared" si="1002"/>
        <v>3.3272080529663593E-2</v>
      </c>
      <c r="G616" s="123">
        <f t="shared" si="1003"/>
        <v>5.8537488158497339</v>
      </c>
      <c r="I616" s="123" t="s">
        <v>397</v>
      </c>
      <c r="K616" s="103" t="s">
        <v>215</v>
      </c>
      <c r="L616" s="98"/>
      <c r="BG616" s="4" t="s">
        <v>4</v>
      </c>
      <c r="BH616" s="5">
        <v>19347.8</v>
      </c>
      <c r="BI616" s="5">
        <v>5368.48</v>
      </c>
      <c r="BJ616" s="5">
        <v>3257.43</v>
      </c>
      <c r="BK616" s="112">
        <f t="shared" ref="BK616:BK617" si="1005">SUM(BH616:BJ616)</f>
        <v>27973.71</v>
      </c>
      <c r="BL616" s="123">
        <f t="shared" ref="BL616:BL618" si="1006">BJ616/(BH616+BI616)</f>
        <v>0.13179289116323331</v>
      </c>
      <c r="BM616" s="123">
        <f t="shared" ref="BM616:BM618" si="1007">BH616/BI616</f>
        <v>3.6039623878639766</v>
      </c>
      <c r="BN616" s="123"/>
      <c r="BO616" s="123"/>
      <c r="BP616" s="123">
        <f>0.23*0.3</f>
        <v>6.9000000000000006E-2</v>
      </c>
      <c r="BQ616" s="123" t="s">
        <v>214</v>
      </c>
      <c r="BR616" s="98"/>
    </row>
    <row r="617" spans="1:70" ht="15.75" thickBot="1">
      <c r="A617" s="7"/>
      <c r="B617" s="111">
        <f>SUM(B614:B616)</f>
        <v>59987.539999999994</v>
      </c>
      <c r="C617" s="113">
        <f t="shared" ref="C617:D617" si="1008">SUM(C614:C616)</f>
        <v>7866.1849999999995</v>
      </c>
      <c r="D617" s="109">
        <f t="shared" si="1008"/>
        <v>2257.6333</v>
      </c>
      <c r="E617" s="102">
        <f>SUM(E614:E616)</f>
        <v>70111.358299999993</v>
      </c>
      <c r="F617" s="123">
        <f t="shared" si="1002"/>
        <v>3.3272061334878818E-2</v>
      </c>
      <c r="G617" s="123">
        <f t="shared" si="1003"/>
        <v>7.6260016767975829</v>
      </c>
      <c r="I617" s="123" t="s">
        <v>398</v>
      </c>
      <c r="K617" s="103" t="s">
        <v>216</v>
      </c>
      <c r="L617" s="98"/>
      <c r="BG617" s="4" t="s">
        <v>5</v>
      </c>
      <c r="BH617" s="5">
        <v>7538.24</v>
      </c>
      <c r="BI617" s="5">
        <v>2982.92</v>
      </c>
      <c r="BJ617" s="5">
        <v>1386.61</v>
      </c>
      <c r="BK617" s="108">
        <f t="shared" si="1005"/>
        <v>11907.77</v>
      </c>
      <c r="BL617" s="123">
        <f t="shared" si="1006"/>
        <v>0.13179250196746364</v>
      </c>
      <c r="BM617" s="123">
        <f t="shared" si="1007"/>
        <v>2.5271344856717577</v>
      </c>
      <c r="BN617" s="123"/>
      <c r="BO617" s="123" t="s">
        <v>397</v>
      </c>
      <c r="BP617" s="123"/>
      <c r="BQ617" s="103" t="s">
        <v>215</v>
      </c>
      <c r="BR617" s="98"/>
    </row>
    <row r="618" spans="1:70" ht="16.5" thickTop="1" thickBot="1">
      <c r="A618" s="130"/>
      <c r="F618" s="124" t="s">
        <v>420</v>
      </c>
      <c r="G618" s="103">
        <f>AVERAGE(G614:G616)</f>
        <v>7.7114515293905646</v>
      </c>
      <c r="I618" s="123" t="s">
        <v>399</v>
      </c>
      <c r="K618" s="103" t="s">
        <v>217</v>
      </c>
      <c r="L618" s="98"/>
      <c r="BG618" s="7"/>
      <c r="BH618" s="111">
        <f>SUM(BH615:BH617)</f>
        <v>62378.340000000004</v>
      </c>
      <c r="BI618" s="113">
        <f t="shared" ref="BI618:BJ618" si="1009">SUM(BI615:BI617)</f>
        <v>27973.699999999997</v>
      </c>
      <c r="BJ618" s="109">
        <f t="shared" si="1009"/>
        <v>11907.76</v>
      </c>
      <c r="BK618" s="102">
        <f>SUM(BK615:BK617)</f>
        <v>102259.8</v>
      </c>
      <c r="BL618" s="123">
        <f t="shared" si="1006"/>
        <v>0.1317929290805166</v>
      </c>
      <c r="BM618" s="123">
        <f t="shared" si="1007"/>
        <v>2.2298923631839909</v>
      </c>
      <c r="BN618" s="123"/>
      <c r="BO618" s="123" t="s">
        <v>398</v>
      </c>
      <c r="BP618" s="123"/>
      <c r="BQ618" s="103" t="s">
        <v>216</v>
      </c>
      <c r="BR618" s="98"/>
    </row>
    <row r="619" spans="1:70" ht="15.75" thickTop="1">
      <c r="A619" s="130" t="s">
        <v>12</v>
      </c>
      <c r="B619" s="123">
        <f>B614/B606</f>
        <v>1.0037434318450416</v>
      </c>
      <c r="C619" s="123" t="s">
        <v>163</v>
      </c>
      <c r="D619" s="123">
        <f>C614/C606</f>
        <v>1.0104124518215516</v>
      </c>
      <c r="E619" s="124" t="s">
        <v>255</v>
      </c>
      <c r="J619" s="124" t="s">
        <v>396</v>
      </c>
      <c r="L619" s="98"/>
      <c r="BG619" s="130"/>
      <c r="BH619" s="123"/>
      <c r="BI619" s="123"/>
      <c r="BJ619" s="123"/>
      <c r="BK619" s="123"/>
      <c r="BL619" s="124" t="s">
        <v>420</v>
      </c>
      <c r="BM619" s="103">
        <f>AVERAGE(BM615:BM617)</f>
        <v>2.6466235215644147</v>
      </c>
      <c r="BN619" s="123"/>
      <c r="BO619" s="123" t="s">
        <v>399</v>
      </c>
      <c r="BP619" s="123"/>
      <c r="BQ619" s="103" t="s">
        <v>217</v>
      </c>
      <c r="BR619" s="98"/>
    </row>
    <row r="620" spans="1:70">
      <c r="A620" s="130" t="s">
        <v>13</v>
      </c>
      <c r="B620" s="123">
        <f t="shared" ref="B620:B621" si="1010">B615/B607</f>
        <v>1.0033247104858376</v>
      </c>
      <c r="C620" s="123" t="s">
        <v>164</v>
      </c>
      <c r="D620" s="123">
        <f t="shared" ref="D620:D621" si="1011">C615/C607</f>
        <v>1.0104124576953608</v>
      </c>
      <c r="E620" s="123">
        <f>VAR(G606:G608)</f>
        <v>4.0349779080404886</v>
      </c>
      <c r="F620" s="124">
        <f>STDEV(G606:G608)/G610</f>
        <v>0.25902223878310549</v>
      </c>
      <c r="G620" s="124" t="s">
        <v>449</v>
      </c>
      <c r="L620" s="98"/>
      <c r="BG620" s="130" t="s">
        <v>12</v>
      </c>
      <c r="BH620" s="123">
        <f>BH615/BH607</f>
        <v>0.97787592332891582</v>
      </c>
      <c r="BI620" s="123" t="s">
        <v>163</v>
      </c>
      <c r="BJ620" s="123">
        <f>BI615/BI607</f>
        <v>1.023530086796862</v>
      </c>
      <c r="BK620" s="124" t="s">
        <v>255</v>
      </c>
      <c r="BL620" s="123"/>
      <c r="BM620" s="123"/>
      <c r="BN620" s="123"/>
      <c r="BO620" s="123"/>
      <c r="BP620" s="124" t="s">
        <v>423</v>
      </c>
      <c r="BQ620" s="123"/>
      <c r="BR620" s="98"/>
    </row>
    <row r="621" spans="1:70">
      <c r="A621" s="130" t="s">
        <v>14</v>
      </c>
      <c r="B621" s="123">
        <f t="shared" si="1010"/>
        <v>1.0083809297374409</v>
      </c>
      <c r="C621" s="123" t="s">
        <v>165</v>
      </c>
      <c r="D621" s="123">
        <f t="shared" si="1011"/>
        <v>1.0104149498586408</v>
      </c>
      <c r="G621" s="124" t="s">
        <v>438</v>
      </c>
      <c r="L621" s="98"/>
      <c r="BG621" s="130" t="s">
        <v>13</v>
      </c>
      <c r="BH621" s="123">
        <f t="shared" ref="BH621:BH622" si="1012">BH616/BH608</f>
        <v>0.97714681090690547</v>
      </c>
      <c r="BI621" s="123" t="s">
        <v>164</v>
      </c>
      <c r="BJ621" s="123">
        <f t="shared" ref="BJ621:BJ622" si="1013">BI616/BI608</f>
        <v>1.0235326641309423</v>
      </c>
      <c r="BK621" s="123">
        <f>VAR(BM607:BM609)</f>
        <v>0.89658977256514127</v>
      </c>
      <c r="BL621" s="124">
        <f>STDEV(BM607:BM609)/BM611</f>
        <v>0.34148639364869593</v>
      </c>
      <c r="BM621" s="124" t="s">
        <v>449</v>
      </c>
      <c r="BN621" s="123"/>
      <c r="BO621" s="123"/>
      <c r="BP621" s="123" t="s">
        <v>415</v>
      </c>
      <c r="BQ621" s="123"/>
      <c r="BR621" s="98"/>
    </row>
    <row r="622" spans="1:70">
      <c r="A622" s="130" t="s">
        <v>15</v>
      </c>
      <c r="B622" s="123">
        <f>E614/E606</f>
        <v>1.0038388069242439</v>
      </c>
      <c r="C622" s="123" t="s">
        <v>67</v>
      </c>
      <c r="D622" s="123">
        <f>E615/E607</f>
        <v>1.010412564286149</v>
      </c>
      <c r="E622" s="124" t="s">
        <v>256</v>
      </c>
      <c r="L622" s="98"/>
      <c r="BG622" s="130" t="s">
        <v>14</v>
      </c>
      <c r="BH622" s="123">
        <f t="shared" si="1012"/>
        <v>0.97599198308576096</v>
      </c>
      <c r="BI622" s="123" t="s">
        <v>165</v>
      </c>
      <c r="BJ622" s="123">
        <f t="shared" si="1013"/>
        <v>1.0235319146015907</v>
      </c>
      <c r="BK622" s="123">
        <f>BK621/BM611</f>
        <v>0.32334808587200659</v>
      </c>
      <c r="BL622" s="123"/>
      <c r="BM622" s="124" t="s">
        <v>438</v>
      </c>
      <c r="BN622" s="123"/>
      <c r="BO622" s="123"/>
      <c r="BP622" s="123" t="s">
        <v>403</v>
      </c>
      <c r="BQ622" s="123">
        <v>1</v>
      </c>
      <c r="BR622" s="98" t="s">
        <v>416</v>
      </c>
    </row>
    <row r="623" spans="1:70">
      <c r="A623" s="130" t="s">
        <v>170</v>
      </c>
      <c r="B623" s="123">
        <f>VAR(B619:B621)</f>
        <v>7.8745112331575271E-6</v>
      </c>
      <c r="C623" s="123" t="s">
        <v>170</v>
      </c>
      <c r="D623" s="123">
        <f>VAR(D619:D621)</f>
        <v>2.0751836024292583E-12</v>
      </c>
      <c r="E623" s="123">
        <f>VAR(G614:G616)</f>
        <v>3.9231009613869645</v>
      </c>
      <c r="F623" s="124">
        <f>STDEV(G614:G616)/G618</f>
        <v>0.25684943177963993</v>
      </c>
      <c r="G623" s="124" t="s">
        <v>449</v>
      </c>
      <c r="L623" s="98"/>
      <c r="BG623" s="130" t="s">
        <v>15</v>
      </c>
      <c r="BH623" s="123">
        <f>BK615/BK607</f>
        <v>0.97742139639014991</v>
      </c>
      <c r="BI623" s="123" t="s">
        <v>67</v>
      </c>
      <c r="BJ623" s="123">
        <f>BK616/BK608</f>
        <v>1.0235311422109805</v>
      </c>
      <c r="BK623" s="124" t="s">
        <v>256</v>
      </c>
      <c r="BL623" s="123"/>
      <c r="BM623" s="123"/>
      <c r="BN623" s="123"/>
      <c r="BO623" s="123"/>
      <c r="BP623" s="123" t="s">
        <v>401</v>
      </c>
      <c r="BQ623" s="123">
        <v>500</v>
      </c>
      <c r="BR623" s="98" t="s">
        <v>417</v>
      </c>
    </row>
    <row r="624" spans="1:70">
      <c r="A624" s="130"/>
      <c r="G624" s="124" t="s">
        <v>438</v>
      </c>
      <c r="L624" s="98"/>
      <c r="BG624" s="130" t="s">
        <v>170</v>
      </c>
      <c r="BH624" s="123">
        <f>VAR(BH620:BH622)</f>
        <v>9.0241051003292633E-7</v>
      </c>
      <c r="BI624" s="123" t="s">
        <v>170</v>
      </c>
      <c r="BJ624" s="123">
        <f>VAR(BJ620:BJ622)</f>
        <v>1.7575525561875614E-12</v>
      </c>
      <c r="BK624" s="123">
        <f>VAR(BM615:BM617)</f>
        <v>0.81638383646958346</v>
      </c>
      <c r="BL624" s="124">
        <f>STDEV(BM615:BM617)/BM619</f>
        <v>0.34139332926177202</v>
      </c>
      <c r="BM624" s="124" t="s">
        <v>449</v>
      </c>
      <c r="BN624" s="123"/>
      <c r="BO624" s="123"/>
      <c r="BP624" s="123"/>
      <c r="BQ624" s="123"/>
      <c r="BR624" s="98"/>
    </row>
    <row r="625" spans="1:70">
      <c r="A625" s="130"/>
      <c r="D625" s="123" t="s">
        <v>444</v>
      </c>
      <c r="L625" s="98"/>
      <c r="BG625" s="130"/>
      <c r="BH625" s="123"/>
      <c r="BI625" s="123"/>
      <c r="BJ625" s="123"/>
      <c r="BK625" s="123">
        <f>BK624/BM619</f>
        <v>0.30846239739720155</v>
      </c>
      <c r="BL625" s="123"/>
      <c r="BM625" s="124" t="s">
        <v>438</v>
      </c>
      <c r="BN625" s="123"/>
      <c r="BO625" s="123"/>
      <c r="BP625" s="123"/>
      <c r="BQ625" s="123"/>
      <c r="BR625" s="98"/>
    </row>
    <row r="626" spans="1:70">
      <c r="A626" s="130"/>
      <c r="B626" s="123">
        <f>B619</f>
        <v>1.0037434318450416</v>
      </c>
      <c r="D626" s="123">
        <f>ABS(C614-B615)/C614</f>
        <v>9.5714688675149952E-3</v>
      </c>
      <c r="E626" s="123" t="s">
        <v>446</v>
      </c>
      <c r="L626" s="98"/>
      <c r="BG626" s="130"/>
      <c r="BH626" s="123"/>
      <c r="BI626" s="123"/>
      <c r="BJ626" s="123" t="s">
        <v>444</v>
      </c>
      <c r="BK626" s="123"/>
      <c r="BL626" s="123"/>
      <c r="BM626" s="123"/>
      <c r="BN626" s="123"/>
      <c r="BO626" s="123"/>
      <c r="BP626" s="123"/>
      <c r="BQ626" s="123"/>
      <c r="BR626" s="98"/>
    </row>
    <row r="627" spans="1:70">
      <c r="A627" s="130"/>
      <c r="B627" s="123">
        <f t="shared" ref="B627:B628" si="1014">B620</f>
        <v>1.0033247104858376</v>
      </c>
      <c r="D627" s="123">
        <f>ABS((C606-B607)/C606)</f>
        <v>1.6703338895698361E-2</v>
      </c>
      <c r="E627" s="123" t="s">
        <v>445</v>
      </c>
      <c r="L627" s="98"/>
      <c r="BG627" s="130"/>
      <c r="BH627" s="123">
        <f>BH620</f>
        <v>0.97787592332891582</v>
      </c>
      <c r="BI627" s="123"/>
      <c r="BJ627" s="123">
        <f>ABS(BI615-BH616)/BI615</f>
        <v>1.3989185773329325E-2</v>
      </c>
      <c r="BK627" s="123" t="s">
        <v>446</v>
      </c>
      <c r="BL627" s="123"/>
      <c r="BM627" s="123"/>
      <c r="BN627" s="123"/>
      <c r="BO627" s="123"/>
      <c r="BP627" s="123"/>
      <c r="BQ627" s="123"/>
      <c r="BR627" s="98"/>
    </row>
    <row r="628" spans="1:70">
      <c r="A628" s="130"/>
      <c r="B628" s="123">
        <f t="shared" si="1014"/>
        <v>1.0083809297374409</v>
      </c>
      <c r="L628" s="98"/>
      <c r="BG628" s="130"/>
      <c r="BH628" s="123">
        <f t="shared" ref="BH628:BH629" si="1015">BH621</f>
        <v>0.97714681090690547</v>
      </c>
      <c r="BI628" s="123"/>
      <c r="BJ628" s="123">
        <f>ABS((BI607-BH608)/BI607)</f>
        <v>3.2814847270906285E-2</v>
      </c>
      <c r="BK628" s="123" t="s">
        <v>445</v>
      </c>
      <c r="BL628" s="123"/>
      <c r="BM628" s="123"/>
      <c r="BN628" s="123"/>
      <c r="BO628" s="123"/>
      <c r="BP628" s="123"/>
      <c r="BQ628" s="123"/>
      <c r="BR628" s="98"/>
    </row>
    <row r="629" spans="1:70">
      <c r="A629" s="130"/>
      <c r="B629" s="123">
        <f>D619</f>
        <v>1.0104124518215516</v>
      </c>
      <c r="L629" s="98"/>
      <c r="BG629" s="130"/>
      <c r="BH629" s="123">
        <f t="shared" si="1015"/>
        <v>0.97599198308576096</v>
      </c>
      <c r="BI629" s="123"/>
      <c r="BJ629" s="123"/>
      <c r="BK629" s="123"/>
      <c r="BL629" s="123"/>
      <c r="BM629" s="123"/>
      <c r="BN629" s="123"/>
      <c r="BO629" s="123"/>
      <c r="BP629" s="123"/>
      <c r="BQ629" s="123"/>
      <c r="BR629" s="98"/>
    </row>
    <row r="630" spans="1:70">
      <c r="A630" s="130"/>
      <c r="B630" s="123">
        <f t="shared" ref="B630:B631" si="1016">D620</f>
        <v>1.0104124576953608</v>
      </c>
      <c r="L630" s="98"/>
      <c r="BG630" s="130"/>
      <c r="BH630" s="123">
        <f>BJ620</f>
        <v>1.023530086796862</v>
      </c>
      <c r="BI630" s="123"/>
      <c r="BJ630" s="123"/>
      <c r="BK630" s="123"/>
      <c r="BL630" s="123"/>
      <c r="BM630" s="123"/>
      <c r="BN630" s="123"/>
      <c r="BO630" s="123"/>
      <c r="BP630" s="123"/>
      <c r="BQ630" s="123"/>
      <c r="BR630" s="98"/>
    </row>
    <row r="631" spans="1:70">
      <c r="A631" s="130"/>
      <c r="B631" s="123">
        <f t="shared" si="1016"/>
        <v>1.0104149498586408</v>
      </c>
      <c r="L631" s="98"/>
      <c r="BG631" s="130"/>
      <c r="BH631" s="123">
        <f t="shared" ref="BH631:BH632" si="1017">BJ621</f>
        <v>1.0235326641309423</v>
      </c>
      <c r="BI631" s="123"/>
      <c r="BJ631" s="123"/>
      <c r="BK631" s="123"/>
      <c r="BL631" s="123"/>
      <c r="BM631" s="123"/>
      <c r="BN631" s="123"/>
      <c r="BO631" s="123"/>
      <c r="BP631" s="123"/>
      <c r="BQ631" s="123"/>
      <c r="BR631" s="98"/>
    </row>
    <row r="632" spans="1:70" ht="15.75" thickBot="1">
      <c r="A632" s="131" t="s">
        <v>170</v>
      </c>
      <c r="B632" s="126">
        <f>VAR(B626:B631)</f>
        <v>1.1461437449412308E-5</v>
      </c>
      <c r="C632" s="126"/>
      <c r="D632" s="126"/>
      <c r="E632" s="126"/>
      <c r="F632" s="126"/>
      <c r="G632" s="126"/>
      <c r="H632" s="126"/>
      <c r="I632" s="126"/>
      <c r="J632" s="126"/>
      <c r="K632" s="126"/>
      <c r="L632" s="127"/>
      <c r="BG632" s="130"/>
      <c r="BH632" s="123">
        <f t="shared" si="1017"/>
        <v>1.0235319146015907</v>
      </c>
      <c r="BI632" s="123"/>
      <c r="BJ632" s="123"/>
      <c r="BK632" s="123"/>
      <c r="BL632" s="123"/>
      <c r="BM632" s="123"/>
      <c r="BN632" s="123"/>
      <c r="BO632" s="123"/>
      <c r="BP632" s="123"/>
      <c r="BQ632" s="123"/>
      <c r="BR632" s="98"/>
    </row>
    <row r="633" spans="1:70" ht="16.5" thickTop="1" thickBot="1">
      <c r="A633" s="128"/>
      <c r="B633" s="121"/>
      <c r="C633" s="121"/>
      <c r="D633" s="121"/>
      <c r="E633" s="121"/>
      <c r="F633" s="133" t="s">
        <v>239</v>
      </c>
      <c r="G633" s="121"/>
      <c r="H633" s="121"/>
      <c r="I633" s="129" t="s">
        <v>414</v>
      </c>
      <c r="J633" s="121"/>
      <c r="K633" s="121"/>
      <c r="L633" s="122"/>
      <c r="BG633" s="131" t="s">
        <v>170</v>
      </c>
      <c r="BH633" s="126">
        <f>VAR(BH627:BH632)</f>
        <v>6.4977969629689022E-4</v>
      </c>
      <c r="BI633" s="126"/>
      <c r="BJ633" s="126"/>
      <c r="BK633" s="126"/>
      <c r="BL633" s="126"/>
      <c r="BM633" s="126"/>
      <c r="BN633" s="126"/>
      <c r="BO633" s="126"/>
      <c r="BP633" s="126"/>
      <c r="BQ633" s="126"/>
      <c r="BR633" s="127"/>
    </row>
    <row r="634" spans="1:70" ht="16.5" thickTop="1" thickBot="1">
      <c r="A634" s="130" t="s">
        <v>167</v>
      </c>
      <c r="H634" s="123" t="s">
        <v>168</v>
      </c>
      <c r="L634" s="98"/>
    </row>
    <row r="635" spans="1:70" ht="15.75" thickTop="1">
      <c r="A635" s="1"/>
      <c r="B635" s="2" t="s">
        <v>0</v>
      </c>
      <c r="C635" s="2" t="s">
        <v>1</v>
      </c>
      <c r="D635" s="2" t="s">
        <v>2</v>
      </c>
      <c r="E635" s="3" t="s">
        <v>6</v>
      </c>
      <c r="F635" s="103" t="s">
        <v>70</v>
      </c>
      <c r="G635" s="103" t="s">
        <v>172</v>
      </c>
      <c r="H635" s="123" t="s">
        <v>3</v>
      </c>
      <c r="I635" s="123">
        <v>6</v>
      </c>
      <c r="K635" s="123" t="s">
        <v>19</v>
      </c>
      <c r="L635" s="123">
        <v>0.106529</v>
      </c>
    </row>
    <row r="636" spans="1:70">
      <c r="A636" s="4" t="s">
        <v>3</v>
      </c>
      <c r="B636" s="100">
        <v>2247.4899999999998</v>
      </c>
      <c r="C636" s="5">
        <v>2936.36</v>
      </c>
      <c r="D636" s="5">
        <v>712.22900000000004</v>
      </c>
      <c r="E636" s="104">
        <f>SUM(B636:D636)</f>
        <v>5896.0790000000006</v>
      </c>
      <c r="F636" s="123">
        <f>D636/C636</f>
        <v>0.242555068179651</v>
      </c>
      <c r="G636" s="123">
        <f>B636/C636</f>
        <v>0.7654000190712309</v>
      </c>
      <c r="H636" s="123" t="s">
        <v>4</v>
      </c>
      <c r="I636" s="123">
        <v>12</v>
      </c>
      <c r="L636" s="98"/>
    </row>
    <row r="637" spans="1:70">
      <c r="A637" s="4" t="s">
        <v>4</v>
      </c>
      <c r="B637" s="5">
        <v>2938.79</v>
      </c>
      <c r="C637" s="5">
        <v>1168.29</v>
      </c>
      <c r="D637" s="5">
        <v>283.37400000000002</v>
      </c>
      <c r="E637" s="106">
        <f t="shared" ref="E637:E639" si="1018">SUM(B637:D637)</f>
        <v>4390.4539999999997</v>
      </c>
      <c r="F637" s="123">
        <f t="shared" ref="F637:F639" si="1019">D637/C637</f>
        <v>0.24255450273476623</v>
      </c>
      <c r="G637" s="123">
        <f t="shared" ref="G637:G639" si="1020">B637/C637</f>
        <v>2.5154627703737944</v>
      </c>
      <c r="H637" s="123" t="s">
        <v>5</v>
      </c>
      <c r="I637" s="123">
        <v>4</v>
      </c>
      <c r="L637" s="98"/>
    </row>
    <row r="638" spans="1:70">
      <c r="A638" s="4" t="s">
        <v>5</v>
      </c>
      <c r="B638" s="5">
        <v>709.80200000000002</v>
      </c>
      <c r="C638" s="5">
        <v>285.8</v>
      </c>
      <c r="D638" s="5">
        <v>69.322100000000006</v>
      </c>
      <c r="E638" s="108">
        <f t="shared" si="1018"/>
        <v>1064.9241000000002</v>
      </c>
      <c r="F638" s="123">
        <f t="shared" si="1019"/>
        <v>0.24255458362491253</v>
      </c>
      <c r="G638" s="123">
        <f t="shared" si="1020"/>
        <v>2.4835619314205739</v>
      </c>
      <c r="L638" s="98"/>
    </row>
    <row r="639" spans="1:70" ht="15.75" thickBot="1">
      <c r="A639" s="7"/>
      <c r="B639" s="105">
        <f>SUM(B636:B638)</f>
        <v>5896.0819999999994</v>
      </c>
      <c r="C639" s="107">
        <f>SUM(C636:C638)</f>
        <v>4390.45</v>
      </c>
      <c r="D639" s="109">
        <f>SUM(D636:D638)</f>
        <v>1064.9251000000002</v>
      </c>
      <c r="E639" s="101">
        <f t="shared" si="1018"/>
        <v>11351.4571</v>
      </c>
      <c r="F639" s="123">
        <f t="shared" si="1019"/>
        <v>0.24255488617339913</v>
      </c>
      <c r="G639" s="123">
        <f t="shared" si="1020"/>
        <v>1.3429334122925896</v>
      </c>
      <c r="L639" s="98"/>
    </row>
    <row r="640" spans="1:70" ht="15.75" thickTop="1">
      <c r="A640" s="130"/>
      <c r="F640" s="124" t="s">
        <v>420</v>
      </c>
      <c r="G640" s="103">
        <f>AVERAGE(G636:G638)</f>
        <v>1.9214749069551997</v>
      </c>
      <c r="L640" s="98"/>
    </row>
    <row r="641" spans="1:12">
      <c r="A641" s="130"/>
      <c r="L641" s="98"/>
    </row>
    <row r="642" spans="1:12" ht="15.75" thickBot="1">
      <c r="A642" s="140" t="s">
        <v>254</v>
      </c>
      <c r="J642" s="124" t="s">
        <v>218</v>
      </c>
      <c r="L642" s="98"/>
    </row>
    <row r="643" spans="1:12" ht="15.75" thickTop="1">
      <c r="A643" s="1"/>
      <c r="B643" s="2" t="s">
        <v>8</v>
      </c>
      <c r="C643" s="2" t="s">
        <v>9</v>
      </c>
      <c r="D643" s="2" t="s">
        <v>10</v>
      </c>
      <c r="E643" s="3" t="s">
        <v>11</v>
      </c>
      <c r="F643" s="103" t="s">
        <v>16</v>
      </c>
      <c r="G643" s="103" t="s">
        <v>172</v>
      </c>
      <c r="H643" s="124" t="s">
        <v>171</v>
      </c>
      <c r="J643" s="123">
        <v>0.13</v>
      </c>
      <c r="K643" s="103" t="s">
        <v>212</v>
      </c>
      <c r="L643" s="98"/>
    </row>
    <row r="644" spans="1:12">
      <c r="A644" s="4" t="s">
        <v>3</v>
      </c>
      <c r="B644" s="100">
        <v>2134.7600000000002</v>
      </c>
      <c r="C644" s="5">
        <v>2934.34</v>
      </c>
      <c r="D644" s="5">
        <v>540.00800000000004</v>
      </c>
      <c r="E644" s="110">
        <f>SUM(B644:D644)</f>
        <v>5609.1080000000002</v>
      </c>
      <c r="F644" s="123">
        <f>D644/(B644+C644)</f>
        <v>0.10652936418693654</v>
      </c>
      <c r="G644" s="123">
        <f>B644/C644</f>
        <v>0.72750942290259479</v>
      </c>
      <c r="H644" s="125">
        <f>ABS((E647-E639)/E639)</f>
        <v>2.5547566047710434E-2</v>
      </c>
      <c r="J644" s="123">
        <v>0.307</v>
      </c>
      <c r="K644" s="123" t="s">
        <v>213</v>
      </c>
      <c r="L644" s="98"/>
    </row>
    <row r="645" spans="1:12">
      <c r="A645" s="4" t="s">
        <v>4</v>
      </c>
      <c r="B645" s="5">
        <v>2797.55</v>
      </c>
      <c r="C645" s="5">
        <v>1167.48</v>
      </c>
      <c r="D645" s="5">
        <v>422.39299999999997</v>
      </c>
      <c r="E645" s="112">
        <f t="shared" ref="E645:E646" si="1021">SUM(B645:D645)</f>
        <v>4387.4229999999998</v>
      </c>
      <c r="F645" s="123">
        <f t="shared" ref="F645:F647" si="1022">D645/(B645+C645)</f>
        <v>0.10652958489595285</v>
      </c>
      <c r="G645" s="123">
        <f t="shared" ref="G645:G647" si="1023">B645/C645</f>
        <v>2.3962294857299482</v>
      </c>
      <c r="J645" s="123">
        <v>0.23</v>
      </c>
      <c r="K645" s="123" t="s">
        <v>214</v>
      </c>
      <c r="L645" s="98"/>
    </row>
    <row r="646" spans="1:12">
      <c r="A646" s="4" t="s">
        <v>5</v>
      </c>
      <c r="B646" s="5">
        <v>676.79700000000003</v>
      </c>
      <c r="C646" s="5">
        <v>285.60300000000001</v>
      </c>
      <c r="D646" s="5">
        <v>102.524</v>
      </c>
      <c r="E646" s="108">
        <f t="shared" si="1021"/>
        <v>1064.924</v>
      </c>
      <c r="F646" s="123">
        <f t="shared" si="1022"/>
        <v>0.10652950955943474</v>
      </c>
      <c r="G646" s="123">
        <f t="shared" si="1023"/>
        <v>2.3697125030199264</v>
      </c>
      <c r="I646" s="123" t="s">
        <v>397</v>
      </c>
      <c r="K646" s="103" t="s">
        <v>215</v>
      </c>
      <c r="L646" s="98"/>
    </row>
    <row r="647" spans="1:12" ht="15.75" thickBot="1">
      <c r="A647" s="7"/>
      <c r="B647" s="111">
        <f>SUM(B644:B646)</f>
        <v>5609.107</v>
      </c>
      <c r="C647" s="113">
        <f t="shared" ref="C647:D647" si="1024">SUM(C644:C646)</f>
        <v>4387.4229999999998</v>
      </c>
      <c r="D647" s="109">
        <f t="shared" si="1024"/>
        <v>1064.9250000000002</v>
      </c>
      <c r="E647" s="102">
        <f>SUM(E644:E646)</f>
        <v>11061.454999999998</v>
      </c>
      <c r="F647" s="123">
        <f t="shared" si="1022"/>
        <v>0.10652946572460648</v>
      </c>
      <c r="G647" s="123">
        <f t="shared" si="1023"/>
        <v>1.2784513825085935</v>
      </c>
      <c r="I647" s="123" t="s">
        <v>398</v>
      </c>
      <c r="K647" s="103" t="s">
        <v>216</v>
      </c>
      <c r="L647" s="98"/>
    </row>
    <row r="648" spans="1:12" ht="15.75" thickTop="1">
      <c r="A648" s="130"/>
      <c r="F648" s="124" t="s">
        <v>420</v>
      </c>
      <c r="G648" s="103">
        <f>AVERAGE(G644:G646)</f>
        <v>1.831150470550823</v>
      </c>
      <c r="I648" s="123" t="s">
        <v>399</v>
      </c>
      <c r="K648" s="103" t="s">
        <v>217</v>
      </c>
      <c r="L648" s="98"/>
    </row>
    <row r="649" spans="1:12">
      <c r="A649" s="130" t="s">
        <v>12</v>
      </c>
      <c r="B649" s="123">
        <f>B644/B636</f>
        <v>0.94984182354537749</v>
      </c>
      <c r="C649" s="123" t="s">
        <v>163</v>
      </c>
      <c r="D649" s="123">
        <f>C644/C636</f>
        <v>0.99931207345148421</v>
      </c>
      <c r="E649" s="124" t="s">
        <v>255</v>
      </c>
      <c r="J649" s="124" t="s">
        <v>423</v>
      </c>
      <c r="L649" s="98"/>
    </row>
    <row r="650" spans="1:12">
      <c r="A650" s="130" t="s">
        <v>13</v>
      </c>
      <c r="B650" s="123">
        <f t="shared" ref="B650:B651" si="1025">B645/B637</f>
        <v>0.95193940363210716</v>
      </c>
      <c r="C650" s="123" t="s">
        <v>164</v>
      </c>
      <c r="D650" s="123">
        <f t="shared" ref="D650:D651" si="1026">C645/C637</f>
        <v>0.99930667899237346</v>
      </c>
      <c r="E650" s="123">
        <f>VAR(G636:G638)</f>
        <v>1.0026362756784284</v>
      </c>
      <c r="F650" s="124">
        <f>STDEV(G636:G638)/G640</f>
        <v>0.52111909794621092</v>
      </c>
      <c r="G650" s="124" t="s">
        <v>449</v>
      </c>
      <c r="J650" s="123" t="s">
        <v>415</v>
      </c>
      <c r="L650" s="98"/>
    </row>
    <row r="651" spans="1:12">
      <c r="A651" s="130" t="s">
        <v>14</v>
      </c>
      <c r="B651" s="123">
        <f t="shared" si="1025"/>
        <v>0.95350111721296926</v>
      </c>
      <c r="C651" s="123" t="s">
        <v>165</v>
      </c>
      <c r="D651" s="123">
        <f t="shared" si="1026"/>
        <v>0.99931070678796363</v>
      </c>
      <c r="E651" s="123">
        <f>E650/G640</f>
        <v>0.52180555262479178</v>
      </c>
      <c r="G651" s="124" t="s">
        <v>438</v>
      </c>
      <c r="J651" s="123" t="s">
        <v>403</v>
      </c>
      <c r="K651" s="123">
        <v>1</v>
      </c>
      <c r="L651" s="98" t="s">
        <v>416</v>
      </c>
    </row>
    <row r="652" spans="1:12">
      <c r="A652" s="130" t="s">
        <v>15</v>
      </c>
      <c r="B652" s="123">
        <f>E644/E636</f>
        <v>0.95132850153466386</v>
      </c>
      <c r="C652" s="123" t="s">
        <v>67</v>
      </c>
      <c r="D652" s="123">
        <f>E645/E637</f>
        <v>0.99930963859318422</v>
      </c>
      <c r="E652" s="124" t="s">
        <v>256</v>
      </c>
      <c r="J652" s="123" t="s">
        <v>401</v>
      </c>
      <c r="K652" s="123">
        <v>500</v>
      </c>
      <c r="L652" s="98" t="s">
        <v>417</v>
      </c>
    </row>
    <row r="653" spans="1:12">
      <c r="A653" s="130" t="s">
        <v>170</v>
      </c>
      <c r="B653" s="123">
        <f>VAR(B649:B651)</f>
        <v>3.3715369457618616E-6</v>
      </c>
      <c r="C653" s="123" t="s">
        <v>170</v>
      </c>
      <c r="D653" s="123">
        <f>VAR(D649:D651)</f>
        <v>7.8651825986827768E-12</v>
      </c>
      <c r="E653" s="123">
        <f>VAR(G644:G646)</f>
        <v>0.91369345913357058</v>
      </c>
      <c r="F653" s="124">
        <f>STDEV(G644:G646)/G648</f>
        <v>0.52200687766404708</v>
      </c>
      <c r="G653" s="124" t="s">
        <v>449</v>
      </c>
      <c r="L653" s="98"/>
    </row>
    <row r="654" spans="1:12">
      <c r="A654" s="130"/>
      <c r="E654" s="123">
        <f>E653/G648</f>
        <v>0.49897235307960525</v>
      </c>
      <c r="G654" s="124" t="s">
        <v>438</v>
      </c>
      <c r="L654" s="98"/>
    </row>
    <row r="655" spans="1:12">
      <c r="A655" s="130"/>
      <c r="D655" s="123" t="s">
        <v>444</v>
      </c>
      <c r="L655" s="98"/>
    </row>
    <row r="656" spans="1:12">
      <c r="A656" s="130"/>
      <c r="B656" s="123">
        <f>B649</f>
        <v>0.94984182354537749</v>
      </c>
      <c r="D656" s="123">
        <f>ABS(C644-B645)/C644</f>
        <v>4.6616956453580688E-2</v>
      </c>
      <c r="E656" s="123" t="s">
        <v>446</v>
      </c>
      <c r="L656" s="98"/>
    </row>
    <row r="657" spans="1:12">
      <c r="A657" s="130"/>
      <c r="B657" s="123">
        <f t="shared" ref="B657:B658" si="1027">B650</f>
        <v>0.95193940363210716</v>
      </c>
      <c r="D657" s="123">
        <f>ABS((C636-B637)/C636)</f>
        <v>8.2755520440267415E-4</v>
      </c>
      <c r="E657" s="123" t="s">
        <v>445</v>
      </c>
      <c r="L657" s="98"/>
    </row>
    <row r="658" spans="1:12">
      <c r="A658" s="130"/>
      <c r="B658" s="123">
        <f t="shared" si="1027"/>
        <v>0.95350111721296926</v>
      </c>
      <c r="L658" s="98"/>
    </row>
    <row r="659" spans="1:12">
      <c r="A659" s="130"/>
      <c r="B659" s="123">
        <f>D649</f>
        <v>0.99931207345148421</v>
      </c>
      <c r="L659" s="98"/>
    </row>
    <row r="660" spans="1:12">
      <c r="A660" s="130"/>
      <c r="B660" s="123">
        <f t="shared" ref="B660:B661" si="1028">D650</f>
        <v>0.99930667899237346</v>
      </c>
      <c r="L660" s="98"/>
    </row>
    <row r="661" spans="1:12">
      <c r="A661" s="130"/>
      <c r="B661" s="123">
        <f t="shared" si="1028"/>
        <v>0.99931070678796363</v>
      </c>
      <c r="L661" s="98"/>
    </row>
    <row r="662" spans="1:12" ht="15.75" thickBot="1">
      <c r="A662" s="131" t="s">
        <v>170</v>
      </c>
      <c r="B662" s="126">
        <f>VAR(B656:B661)</f>
        <v>6.79621930343253E-4</v>
      </c>
      <c r="C662" s="126"/>
      <c r="D662" s="126"/>
      <c r="E662" s="126"/>
      <c r="F662" s="126"/>
      <c r="G662" s="126"/>
      <c r="H662" s="126"/>
      <c r="I662" s="126"/>
      <c r="J662" s="126"/>
      <c r="K662" s="126"/>
      <c r="L662" s="127"/>
    </row>
    <row r="663" spans="1:12" ht="15.75" thickTop="1">
      <c r="A663" s="128"/>
      <c r="B663" s="121"/>
      <c r="C663" s="121"/>
      <c r="D663" s="121"/>
      <c r="E663" s="121"/>
      <c r="F663" s="133" t="s">
        <v>239</v>
      </c>
      <c r="G663" s="121"/>
      <c r="H663" s="121"/>
      <c r="I663" s="129" t="s">
        <v>433</v>
      </c>
      <c r="J663" s="121"/>
      <c r="K663" s="121"/>
      <c r="L663" s="122"/>
    </row>
    <row r="664" spans="1:12" ht="15.75" thickBot="1">
      <c r="A664" s="130" t="s">
        <v>167</v>
      </c>
      <c r="H664" s="123" t="s">
        <v>168</v>
      </c>
      <c r="L664" s="98"/>
    </row>
    <row r="665" spans="1:12" ht="15.75" thickTop="1">
      <c r="A665" s="1"/>
      <c r="B665" s="2" t="s">
        <v>0</v>
      </c>
      <c r="C665" s="2" t="s">
        <v>1</v>
      </c>
      <c r="D665" s="2" t="s">
        <v>2</v>
      </c>
      <c r="E665" s="3" t="s">
        <v>6</v>
      </c>
      <c r="F665" s="103" t="s">
        <v>70</v>
      </c>
      <c r="G665" s="103" t="s">
        <v>172</v>
      </c>
      <c r="H665" s="123" t="s">
        <v>3</v>
      </c>
      <c r="I665" s="123">
        <v>6</v>
      </c>
      <c r="K665" s="123" t="s">
        <v>19</v>
      </c>
      <c r="L665" s="123">
        <v>0.117753</v>
      </c>
    </row>
    <row r="666" spans="1:12">
      <c r="A666" s="4" t="s">
        <v>3</v>
      </c>
      <c r="B666" s="100">
        <v>6366.7</v>
      </c>
      <c r="C666" s="5">
        <v>3287.72</v>
      </c>
      <c r="D666" s="5">
        <v>1245.6500000000001</v>
      </c>
      <c r="E666" s="104">
        <f>SUM(B666:D666)</f>
        <v>10900.07</v>
      </c>
      <c r="F666" s="123">
        <f>D666/C666</f>
        <v>0.37887958828610713</v>
      </c>
      <c r="G666" s="123">
        <f>B666/C666</f>
        <v>1.9365091917803219</v>
      </c>
      <c r="H666" s="123" t="s">
        <v>4</v>
      </c>
      <c r="I666" s="123">
        <v>12</v>
      </c>
      <c r="L666" s="98"/>
    </row>
    <row r="667" spans="1:12">
      <c r="A667" s="4" t="s">
        <v>4</v>
      </c>
      <c r="B667" s="5">
        <v>3354.16</v>
      </c>
      <c r="C667" s="5">
        <v>1092.1500000000001</v>
      </c>
      <c r="D667" s="5">
        <v>413.79500000000002</v>
      </c>
      <c r="E667" s="106">
        <f t="shared" ref="E667:E669" si="1029">SUM(B667:D667)</f>
        <v>4860.1049999999996</v>
      </c>
      <c r="F667" s="123">
        <f t="shared" ref="F667:F669" si="1030">D667/C667</f>
        <v>0.37888110607517278</v>
      </c>
      <c r="G667" s="123">
        <f t="shared" ref="G667:G669" si="1031">B667/C667</f>
        <v>3.0711532298676918</v>
      </c>
      <c r="H667" s="123" t="s">
        <v>5</v>
      </c>
      <c r="I667" s="123">
        <v>4</v>
      </c>
      <c r="L667" s="98"/>
    </row>
    <row r="668" spans="1:12">
      <c r="A668" s="4" t="s">
        <v>5</v>
      </c>
      <c r="B668" s="5">
        <v>1179.22</v>
      </c>
      <c r="C668" s="5">
        <v>480.23</v>
      </c>
      <c r="D668" s="5">
        <v>181.95</v>
      </c>
      <c r="E668" s="108">
        <f t="shared" si="1029"/>
        <v>1841.4</v>
      </c>
      <c r="F668" s="123">
        <f t="shared" si="1030"/>
        <v>0.3788809528767465</v>
      </c>
      <c r="G668" s="123">
        <f t="shared" si="1031"/>
        <v>2.4555317243820669</v>
      </c>
      <c r="L668" s="98"/>
    </row>
    <row r="669" spans="1:12" ht="15.75" thickBot="1">
      <c r="A669" s="7"/>
      <c r="B669" s="105">
        <f>SUM(B666:B668)</f>
        <v>10900.08</v>
      </c>
      <c r="C669" s="107">
        <f>SUM(C666:C668)</f>
        <v>4860.1000000000004</v>
      </c>
      <c r="D669" s="109">
        <f>SUM(D666:D668)</f>
        <v>1841.3950000000002</v>
      </c>
      <c r="E669" s="101">
        <f t="shared" si="1029"/>
        <v>17601.575000000001</v>
      </c>
      <c r="F669" s="123">
        <f t="shared" si="1030"/>
        <v>0.37888006419620995</v>
      </c>
      <c r="G669" s="123">
        <f t="shared" si="1031"/>
        <v>2.2427686673113718</v>
      </c>
      <c r="L669" s="98"/>
    </row>
    <row r="670" spans="1:12" ht="15.75" thickTop="1">
      <c r="A670" s="130"/>
      <c r="F670" s="124" t="s">
        <v>420</v>
      </c>
      <c r="G670" s="103">
        <f>AVERAGE(G666:G668)</f>
        <v>2.4877313820100269</v>
      </c>
      <c r="L670" s="98"/>
    </row>
    <row r="671" spans="1:12">
      <c r="A671" s="130"/>
      <c r="J671" s="123" t="s">
        <v>419</v>
      </c>
      <c r="K671" s="123">
        <v>1.5</v>
      </c>
      <c r="L671" s="98"/>
    </row>
    <row r="672" spans="1:12" ht="15.75" thickBot="1">
      <c r="A672" s="140" t="s">
        <v>254</v>
      </c>
      <c r="J672" s="124" t="s">
        <v>218</v>
      </c>
      <c r="L672" s="98"/>
    </row>
    <row r="673" spans="1:12" ht="15.75" thickTop="1">
      <c r="A673" s="1"/>
      <c r="B673" s="2" t="s">
        <v>8</v>
      </c>
      <c r="C673" s="2" t="s">
        <v>9</v>
      </c>
      <c r="D673" s="2" t="s">
        <v>10</v>
      </c>
      <c r="E673" s="3" t="s">
        <v>11</v>
      </c>
      <c r="F673" s="103" t="s">
        <v>16</v>
      </c>
      <c r="G673" s="103" t="s">
        <v>172</v>
      </c>
      <c r="H673" s="124" t="s">
        <v>171</v>
      </c>
      <c r="J673" s="123">
        <f>0.13*1.5</f>
        <v>0.19500000000000001</v>
      </c>
      <c r="K673" s="103" t="s">
        <v>212</v>
      </c>
      <c r="L673" s="98"/>
    </row>
    <row r="674" spans="1:12">
      <c r="A674" s="4" t="s">
        <v>3</v>
      </c>
      <c r="B674" s="100">
        <v>6250.81</v>
      </c>
      <c r="C674" s="5">
        <v>3332.37</v>
      </c>
      <c r="D674" s="5">
        <v>1128.45</v>
      </c>
      <c r="E674" s="110">
        <f>SUM(B674:D674)</f>
        <v>10711.630000000001</v>
      </c>
      <c r="F674" s="123">
        <f>D674/(B674+C674)</f>
        <v>0.11775318839884047</v>
      </c>
      <c r="G674" s="123">
        <f>B674/C674</f>
        <v>1.8757851018944476</v>
      </c>
      <c r="H674" s="125">
        <f>ABS((E677-E669)/E669)</f>
        <v>6.9566501861339294E-3</v>
      </c>
      <c r="J674" s="123">
        <f>0.307*1.5</f>
        <v>0.46050000000000002</v>
      </c>
      <c r="K674" s="123" t="s">
        <v>213</v>
      </c>
      <c r="L674" s="98"/>
    </row>
    <row r="675" spans="1:12">
      <c r="A675" s="4" t="s">
        <v>4</v>
      </c>
      <c r="B675" s="5">
        <v>3300.16</v>
      </c>
      <c r="C675" s="5">
        <v>1106.98</v>
      </c>
      <c r="D675" s="5">
        <v>518.95699999999999</v>
      </c>
      <c r="E675" s="112">
        <f t="shared" ref="E675:E676" si="1032">SUM(B675:D675)</f>
        <v>4926.0969999999998</v>
      </c>
      <c r="F675" s="123">
        <f t="shared" ref="F675:F677" si="1033">D675/(B675+C675)</f>
        <v>0.11775369060206847</v>
      </c>
      <c r="G675" s="123">
        <f t="shared" ref="G675:G677" si="1034">B675/C675</f>
        <v>2.9812282064716613</v>
      </c>
      <c r="J675" s="123">
        <f>0.23*1.5</f>
        <v>0.34500000000000003</v>
      </c>
      <c r="K675" s="123" t="s">
        <v>214</v>
      </c>
      <c r="L675" s="98"/>
    </row>
    <row r="676" spans="1:12">
      <c r="A676" s="4" t="s">
        <v>5</v>
      </c>
      <c r="B676" s="5">
        <v>1160.6600000000001</v>
      </c>
      <c r="C676" s="5">
        <v>486.75200000000001</v>
      </c>
      <c r="D676" s="5">
        <v>193.988</v>
      </c>
      <c r="E676" s="108">
        <f t="shared" si="1032"/>
        <v>1841.4</v>
      </c>
      <c r="F676" s="123">
        <f t="shared" si="1033"/>
        <v>0.11775317892549041</v>
      </c>
      <c r="G676" s="123">
        <f t="shared" si="1034"/>
        <v>2.3844997041614624</v>
      </c>
      <c r="I676" s="123" t="s">
        <v>397</v>
      </c>
      <c r="K676" s="103" t="s">
        <v>215</v>
      </c>
      <c r="L676" s="98"/>
    </row>
    <row r="677" spans="1:12" ht="15.75" thickBot="1">
      <c r="A677" s="7"/>
      <c r="B677" s="111">
        <f>SUM(B674:B676)</f>
        <v>10711.630000000001</v>
      </c>
      <c r="C677" s="113">
        <f t="shared" ref="C677:D677" si="1035">SUM(C674:C676)</f>
        <v>4926.1020000000008</v>
      </c>
      <c r="D677" s="109">
        <f t="shared" si="1035"/>
        <v>1841.3950000000002</v>
      </c>
      <c r="E677" s="102">
        <f>SUM(E674:E676)</f>
        <v>17479.127</v>
      </c>
      <c r="F677" s="123">
        <f t="shared" si="1033"/>
        <v>0.11775332893542363</v>
      </c>
      <c r="G677" s="123">
        <f t="shared" si="1034"/>
        <v>2.1744637037560324</v>
      </c>
      <c r="I677" s="123" t="s">
        <v>398</v>
      </c>
      <c r="K677" s="103" t="s">
        <v>216</v>
      </c>
      <c r="L677" s="98"/>
    </row>
    <row r="678" spans="1:12" ht="15.75" thickTop="1">
      <c r="A678" s="130"/>
      <c r="F678" s="124" t="s">
        <v>420</v>
      </c>
      <c r="G678" s="103">
        <f>AVERAGE(G674:G676)</f>
        <v>2.4138376708425238</v>
      </c>
      <c r="I678" s="123" t="s">
        <v>399</v>
      </c>
      <c r="K678" s="103" t="s">
        <v>217</v>
      </c>
      <c r="L678" s="98"/>
    </row>
    <row r="679" spans="1:12">
      <c r="A679" s="130" t="s">
        <v>12</v>
      </c>
      <c r="B679" s="123">
        <f>B674/B666</f>
        <v>0.98179747750011792</v>
      </c>
      <c r="C679" s="123" t="s">
        <v>163</v>
      </c>
      <c r="D679" s="123">
        <f>C674/C666</f>
        <v>1.0135808402175368</v>
      </c>
      <c r="E679" s="124" t="s">
        <v>255</v>
      </c>
      <c r="J679" s="124" t="s">
        <v>423</v>
      </c>
      <c r="L679" s="98"/>
    </row>
    <row r="680" spans="1:12">
      <c r="A680" s="130" t="s">
        <v>13</v>
      </c>
      <c r="B680" s="123">
        <f t="shared" ref="B680:B681" si="1036">B675/B667</f>
        <v>0.98390058911918332</v>
      </c>
      <c r="C680" s="123" t="s">
        <v>164</v>
      </c>
      <c r="D680" s="123">
        <f t="shared" ref="D680:D681" si="1037">C675/C667</f>
        <v>1.0135787208716751</v>
      </c>
      <c r="E680" s="123">
        <f>VAR(G666:G668)</f>
        <v>0.32263188675532284</v>
      </c>
      <c r="F680" s="124">
        <f>STDEV(G666:G668)/G670</f>
        <v>0.2283232613582826</v>
      </c>
      <c r="G680" s="124" t="s">
        <v>449</v>
      </c>
      <c r="J680" s="123" t="s">
        <v>415</v>
      </c>
      <c r="L680" s="98"/>
    </row>
    <row r="681" spans="1:12">
      <c r="A681" s="130" t="s">
        <v>14</v>
      </c>
      <c r="B681" s="123">
        <f t="shared" si="1036"/>
        <v>0.98426078255117799</v>
      </c>
      <c r="C681" s="123" t="s">
        <v>165</v>
      </c>
      <c r="D681" s="123">
        <f t="shared" si="1037"/>
        <v>1.0135809924411219</v>
      </c>
      <c r="E681" s="123">
        <f>E680/G670</f>
        <v>0.12968919759119815</v>
      </c>
      <c r="G681" s="124" t="s">
        <v>438</v>
      </c>
      <c r="J681" s="123" t="s">
        <v>403</v>
      </c>
      <c r="K681" s="123">
        <v>1</v>
      </c>
      <c r="L681" s="98" t="s">
        <v>416</v>
      </c>
    </row>
    <row r="682" spans="1:12">
      <c r="A682" s="130" t="s">
        <v>15</v>
      </c>
      <c r="B682" s="123">
        <f>E674/E666</f>
        <v>0.9827120376291163</v>
      </c>
      <c r="C682" s="123" t="s">
        <v>67</v>
      </c>
      <c r="D682" s="123">
        <f>E675/E667</f>
        <v>1.0135783074645508</v>
      </c>
      <c r="E682" s="124" t="s">
        <v>256</v>
      </c>
      <c r="J682" s="123" t="s">
        <v>401</v>
      </c>
      <c r="K682" s="123">
        <v>500</v>
      </c>
      <c r="L682" s="98" t="s">
        <v>417</v>
      </c>
    </row>
    <row r="683" spans="1:12">
      <c r="A683" s="130" t="s">
        <v>170</v>
      </c>
      <c r="B683" s="123">
        <f>VAR(B679:B681)</f>
        <v>1.7701149275463424E-6</v>
      </c>
      <c r="C683" s="123" t="s">
        <v>170</v>
      </c>
      <c r="D683" s="123">
        <f>VAR(D679:D681)</f>
        <v>1.6124711088026242E-12</v>
      </c>
      <c r="E683" s="123">
        <f>VAR(G674:G676)</f>
        <v>0.30614665158106114</v>
      </c>
      <c r="F683" s="124">
        <f>STDEV(G674:G676)/G678</f>
        <v>0.22922221043305424</v>
      </c>
      <c r="G683" s="124" t="s">
        <v>449</v>
      </c>
      <c r="L683" s="98"/>
    </row>
    <row r="684" spans="1:12">
      <c r="A684" s="130"/>
      <c r="E684" s="123">
        <f>E683/G678</f>
        <v>0.1268298424865513</v>
      </c>
      <c r="G684" s="124" t="s">
        <v>438</v>
      </c>
      <c r="L684" s="98"/>
    </row>
    <row r="685" spans="1:12">
      <c r="A685" s="130"/>
      <c r="D685" s="123" t="s">
        <v>444</v>
      </c>
      <c r="L685" s="98"/>
    </row>
    <row r="686" spans="1:12">
      <c r="A686" s="130"/>
      <c r="B686" s="123">
        <f>B679</f>
        <v>0.98179747750011792</v>
      </c>
      <c r="D686" s="123">
        <f>ABS(C674-B675)/C674</f>
        <v>9.6657934142967434E-3</v>
      </c>
      <c r="E686" s="123" t="s">
        <v>446</v>
      </c>
      <c r="L686" s="98"/>
    </row>
    <row r="687" spans="1:12">
      <c r="A687" s="130"/>
      <c r="B687" s="123">
        <f t="shared" ref="B687:B688" si="1038">B680</f>
        <v>0.98390058911918332</v>
      </c>
      <c r="D687" s="123">
        <f>ABS((C666-B667)/C666)</f>
        <v>2.0208533573418678E-2</v>
      </c>
      <c r="E687" s="123" t="s">
        <v>445</v>
      </c>
      <c r="L687" s="98"/>
    </row>
    <row r="688" spans="1:12">
      <c r="A688" s="130"/>
      <c r="B688" s="123">
        <f t="shared" si="1038"/>
        <v>0.98426078255117799</v>
      </c>
      <c r="L688" s="98"/>
    </row>
    <row r="689" spans="1:12">
      <c r="A689" s="130"/>
      <c r="B689" s="123">
        <f>D679</f>
        <v>1.0135808402175368</v>
      </c>
      <c r="L689" s="98"/>
    </row>
    <row r="690" spans="1:12">
      <c r="A690" s="130"/>
      <c r="B690" s="123">
        <f t="shared" ref="B690:B691" si="1039">D680</f>
        <v>1.0135787208716751</v>
      </c>
      <c r="L690" s="98"/>
    </row>
    <row r="691" spans="1:12">
      <c r="A691" s="130"/>
      <c r="B691" s="123">
        <f t="shared" si="1039"/>
        <v>1.0135809924411219</v>
      </c>
      <c r="L691" s="98"/>
    </row>
    <row r="692" spans="1:12" ht="15.75" thickBot="1">
      <c r="A692" s="131" t="s">
        <v>170</v>
      </c>
      <c r="B692" s="126">
        <f>VAR(B686:B691)</f>
        <v>2.754186414986748E-4</v>
      </c>
      <c r="C692" s="126"/>
      <c r="D692" s="126"/>
      <c r="E692" s="126"/>
      <c r="F692" s="126"/>
      <c r="G692" s="126"/>
      <c r="H692" s="126"/>
      <c r="I692" s="126"/>
      <c r="J692" s="126"/>
      <c r="K692" s="126"/>
      <c r="L692" s="127"/>
    </row>
    <row r="693" spans="1:12" ht="15.75" thickTop="1">
      <c r="A693" s="128"/>
      <c r="B693" s="121"/>
      <c r="C693" s="121"/>
      <c r="D693" s="121"/>
      <c r="E693" s="121"/>
      <c r="F693" s="133" t="s">
        <v>239</v>
      </c>
      <c r="G693" s="121"/>
      <c r="H693" s="121"/>
      <c r="I693" s="129" t="s">
        <v>434</v>
      </c>
      <c r="J693" s="121"/>
      <c r="K693" s="121"/>
      <c r="L693" s="122"/>
    </row>
    <row r="694" spans="1:12" ht="15.75" thickBot="1">
      <c r="A694" s="130" t="s">
        <v>167</v>
      </c>
      <c r="H694" s="123" t="s">
        <v>168</v>
      </c>
      <c r="L694" s="98"/>
    </row>
    <row r="695" spans="1:12" ht="15.75" thickTop="1">
      <c r="A695" s="1"/>
      <c r="B695" s="2" t="s">
        <v>0</v>
      </c>
      <c r="C695" s="2" t="s">
        <v>1</v>
      </c>
      <c r="D695" s="2" t="s">
        <v>2</v>
      </c>
      <c r="E695" s="3" t="s">
        <v>6</v>
      </c>
      <c r="F695" s="103" t="s">
        <v>70</v>
      </c>
      <c r="G695" s="103" t="s">
        <v>172</v>
      </c>
      <c r="H695" s="123" t="s">
        <v>3</v>
      </c>
      <c r="I695" s="123">
        <v>6</v>
      </c>
      <c r="K695" s="123" t="s">
        <v>19</v>
      </c>
      <c r="L695" s="123">
        <v>9.27213E-3</v>
      </c>
    </row>
    <row r="696" spans="1:12">
      <c r="A696" s="4" t="s">
        <v>3</v>
      </c>
      <c r="B696" s="100">
        <f>1.07072*10^6</f>
        <v>1070720</v>
      </c>
      <c r="C696" s="5">
        <v>42817</v>
      </c>
      <c r="D696" s="5">
        <v>10391.5</v>
      </c>
      <c r="E696" s="104">
        <f>SUM(B696:D696)</f>
        <v>1123928.5</v>
      </c>
      <c r="F696" s="123">
        <f>D696/C696</f>
        <v>0.24269565826657635</v>
      </c>
      <c r="G696" s="123">
        <f>B696/C696</f>
        <v>25.006889786766937</v>
      </c>
      <c r="H696" s="123" t="s">
        <v>4</v>
      </c>
      <c r="I696" s="123">
        <v>12</v>
      </c>
      <c r="L696" s="98"/>
    </row>
    <row r="697" spans="1:12">
      <c r="A697" s="4" t="s">
        <v>4</v>
      </c>
      <c r="B697" s="5">
        <v>43007</v>
      </c>
      <c r="C697" s="5">
        <v>1490.44</v>
      </c>
      <c r="D697" s="5">
        <v>361.72300000000001</v>
      </c>
      <c r="E697" s="106">
        <f t="shared" ref="E697:E699" si="1040">SUM(B697:D697)</f>
        <v>44859.163</v>
      </c>
      <c r="F697" s="123">
        <f t="shared" ref="F697:F699" si="1041">D697/C697</f>
        <v>0.24269544564021364</v>
      </c>
      <c r="G697" s="123">
        <f t="shared" ref="G697:G699" si="1042">B697/C697</f>
        <v>28.855237379565764</v>
      </c>
      <c r="H697" s="123" t="s">
        <v>5</v>
      </c>
      <c r="I697" s="123">
        <v>4</v>
      </c>
      <c r="L697" s="98"/>
    </row>
    <row r="698" spans="1:12">
      <c r="A698" s="4" t="s">
        <v>5</v>
      </c>
      <c r="B698" s="5">
        <v>10201.6</v>
      </c>
      <c r="C698" s="5">
        <v>551.68200000000002</v>
      </c>
      <c r="D698" s="5">
        <v>133.89099999999999</v>
      </c>
      <c r="E698" s="108">
        <f t="shared" si="1040"/>
        <v>10887.173000000001</v>
      </c>
      <c r="F698" s="123">
        <f t="shared" si="1041"/>
        <v>0.24269597340496879</v>
      </c>
      <c r="G698" s="123">
        <f t="shared" si="1042"/>
        <v>18.49181231216534</v>
      </c>
      <c r="L698" s="98"/>
    </row>
    <row r="699" spans="1:12" ht="15.75" thickBot="1">
      <c r="A699" s="7"/>
      <c r="B699" s="105">
        <f>SUM(B696:B698)</f>
        <v>1123928.6000000001</v>
      </c>
      <c r="C699" s="107">
        <f>SUM(C696:C698)</f>
        <v>44859.122000000003</v>
      </c>
      <c r="D699" s="109">
        <f>SUM(D696:D698)</f>
        <v>10887.114</v>
      </c>
      <c r="E699" s="101">
        <f t="shared" si="1040"/>
        <v>1179674.8360000001</v>
      </c>
      <c r="F699" s="123">
        <f t="shared" si="1041"/>
        <v>0.24269565507768964</v>
      </c>
      <c r="G699" s="123">
        <f t="shared" si="1042"/>
        <v>25.054627685312255</v>
      </c>
      <c r="L699" s="98"/>
    </row>
    <row r="700" spans="1:12" ht="15.75" thickTop="1">
      <c r="A700" s="130"/>
      <c r="F700" s="124" t="s">
        <v>420</v>
      </c>
      <c r="G700" s="103">
        <f>AVERAGE(G696:G698)</f>
        <v>24.11797982616601</v>
      </c>
      <c r="L700" s="98"/>
    </row>
    <row r="701" spans="1:12">
      <c r="A701" s="130"/>
      <c r="J701" s="123" t="s">
        <v>419</v>
      </c>
      <c r="K701" s="123">
        <v>2.5</v>
      </c>
      <c r="L701" s="98"/>
    </row>
    <row r="702" spans="1:12" ht="15.75" thickBot="1">
      <c r="A702" s="140" t="s">
        <v>254</v>
      </c>
      <c r="J702" s="124" t="s">
        <v>218</v>
      </c>
      <c r="L702" s="98"/>
    </row>
    <row r="703" spans="1:12" ht="15.75" thickTop="1">
      <c r="A703" s="1"/>
      <c r="B703" s="2" t="s">
        <v>8</v>
      </c>
      <c r="C703" s="2" t="s">
        <v>9</v>
      </c>
      <c r="D703" s="2" t="s">
        <v>10</v>
      </c>
      <c r="E703" s="3" t="s">
        <v>11</v>
      </c>
      <c r="F703" s="103" t="s">
        <v>16</v>
      </c>
      <c r="G703" s="103" t="s">
        <v>172</v>
      </c>
      <c r="H703" s="124" t="s">
        <v>171</v>
      </c>
      <c r="J703" s="123">
        <f>0.13*2.5</f>
        <v>0.32500000000000001</v>
      </c>
      <c r="K703" s="103" t="s">
        <v>212</v>
      </c>
      <c r="L703" s="98"/>
    </row>
    <row r="704" spans="1:12">
      <c r="A704" s="4" t="s">
        <v>3</v>
      </c>
      <c r="B704" s="100">
        <f>1.07573*10^6</f>
        <v>1075730</v>
      </c>
      <c r="C704" s="5">
        <v>43013.3</v>
      </c>
      <c r="D704" s="5">
        <v>10373.1</v>
      </c>
      <c r="E704" s="110">
        <f>SUM(B704:D704)</f>
        <v>1129116.4000000001</v>
      </c>
      <c r="F704" s="123">
        <f>D704/(B704+C704)</f>
        <v>9.2721002217398749E-3</v>
      </c>
      <c r="G704" s="123">
        <f>B704/C704</f>
        <v>25.009241327682368</v>
      </c>
      <c r="H704" s="125">
        <f>ABS((E707-E699)/E699)</f>
        <v>4.5719988554539567E-3</v>
      </c>
      <c r="J704" s="123">
        <f>0.307*2.5</f>
        <v>0.76749999999999996</v>
      </c>
      <c r="K704" s="123" t="s">
        <v>213</v>
      </c>
      <c r="L704" s="98"/>
    </row>
    <row r="705" spans="1:12">
      <c r="A705" s="4" t="s">
        <v>4</v>
      </c>
      <c r="B705" s="5">
        <v>43153.5</v>
      </c>
      <c r="C705" s="5">
        <v>1497.27</v>
      </c>
      <c r="D705" s="5">
        <v>414.00799999999998</v>
      </c>
      <c r="E705" s="112">
        <f t="shared" ref="E705:E706" si="1043">SUM(B705:D705)</f>
        <v>45064.777999999998</v>
      </c>
      <c r="F705" s="123">
        <f t="shared" ref="F705:F707" si="1044">D705/(B705+C705)</f>
        <v>9.2721357324856892E-3</v>
      </c>
      <c r="G705" s="123">
        <f t="shared" ref="G705:G707" si="1045">B705/C705</f>
        <v>28.821455048187701</v>
      </c>
      <c r="J705" s="123">
        <f>0.23*2.5</f>
        <v>0.57500000000000007</v>
      </c>
      <c r="K705" s="123" t="s">
        <v>214</v>
      </c>
      <c r="L705" s="98"/>
    </row>
    <row r="706" spans="1:12">
      <c r="A706" s="4" t="s">
        <v>5</v>
      </c>
      <c r="B706" s="5">
        <v>10232.9</v>
      </c>
      <c r="C706" s="5">
        <v>554.21</v>
      </c>
      <c r="D706" s="5">
        <v>100.02</v>
      </c>
      <c r="E706" s="108">
        <f t="shared" si="1043"/>
        <v>10887.130000000001</v>
      </c>
      <c r="F706" s="123">
        <f t="shared" si="1044"/>
        <v>9.2721776268157082E-3</v>
      </c>
      <c r="G706" s="123">
        <f t="shared" si="1045"/>
        <v>18.463939661861026</v>
      </c>
      <c r="I706" s="123" t="s">
        <v>397</v>
      </c>
      <c r="K706" s="103" t="s">
        <v>215</v>
      </c>
      <c r="L706" s="98"/>
    </row>
    <row r="707" spans="1:12" ht="15.75" thickBot="1">
      <c r="A707" s="7"/>
      <c r="B707" s="111">
        <f>SUM(B704:B706)</f>
        <v>1129116.3999999999</v>
      </c>
      <c r="C707" s="113">
        <f t="shared" ref="C707:D707" si="1046">SUM(C704:C706)</f>
        <v>45064.78</v>
      </c>
      <c r="D707" s="109">
        <f t="shared" si="1046"/>
        <v>10887.128000000001</v>
      </c>
      <c r="E707" s="102">
        <f>SUM(E704:E706)</f>
        <v>1185068.308</v>
      </c>
      <c r="F707" s="123">
        <f t="shared" si="1044"/>
        <v>9.2721022832268542E-3</v>
      </c>
      <c r="G707" s="123">
        <f t="shared" si="1045"/>
        <v>25.055406905348256</v>
      </c>
      <c r="I707" s="123" t="s">
        <v>398</v>
      </c>
      <c r="K707" s="103" t="s">
        <v>216</v>
      </c>
      <c r="L707" s="98"/>
    </row>
    <row r="708" spans="1:12" ht="15.75" thickTop="1">
      <c r="A708" s="130"/>
      <c r="F708" s="124" t="s">
        <v>420</v>
      </c>
      <c r="G708" s="103">
        <f>AVERAGE(G704:G706)</f>
        <v>24.098212012577033</v>
      </c>
      <c r="I708" s="123" t="s">
        <v>399</v>
      </c>
      <c r="K708" s="103" t="s">
        <v>217</v>
      </c>
      <c r="L708" s="98"/>
    </row>
    <row r="709" spans="1:12">
      <c r="A709" s="130" t="s">
        <v>12</v>
      </c>
      <c r="B709" s="123">
        <f>B704/B696</f>
        <v>1.0046790944411237</v>
      </c>
      <c r="C709" s="123" t="s">
        <v>163</v>
      </c>
      <c r="D709" s="123">
        <f>C704/C696</f>
        <v>1.0045846276011865</v>
      </c>
      <c r="E709" s="124" t="s">
        <v>255</v>
      </c>
      <c r="J709" s="124" t="s">
        <v>423</v>
      </c>
      <c r="L709" s="98"/>
    </row>
    <row r="710" spans="1:12">
      <c r="A710" s="130" t="s">
        <v>13</v>
      </c>
      <c r="B710" s="123">
        <f t="shared" ref="B710:B711" si="1047">B705/B697</f>
        <v>1.0034064222103378</v>
      </c>
      <c r="C710" s="123" t="s">
        <v>164</v>
      </c>
      <c r="D710" s="123">
        <f t="shared" ref="D710:D711" si="1048">C705/C697</f>
        <v>1.0045825393843428</v>
      </c>
      <c r="E710" s="123">
        <f>VAR(G696:G698)</f>
        <v>27.442765470447739</v>
      </c>
      <c r="F710" s="124">
        <f>STDEV(G696:G698)/G700</f>
        <v>0.21720659599070097</v>
      </c>
      <c r="G710" s="124" t="s">
        <v>449</v>
      </c>
      <c r="J710" s="123" t="s">
        <v>415</v>
      </c>
      <c r="L710" s="98"/>
    </row>
    <row r="711" spans="1:12">
      <c r="A711" s="130" t="s">
        <v>14</v>
      </c>
      <c r="B711" s="123">
        <f t="shared" si="1047"/>
        <v>1.0030681461731492</v>
      </c>
      <c r="C711" s="123" t="s">
        <v>165</v>
      </c>
      <c r="D711" s="123">
        <f t="shared" si="1048"/>
        <v>1.0045823499769795</v>
      </c>
      <c r="E711" s="123">
        <f>E710/G700</f>
        <v>1.1378550636597935</v>
      </c>
      <c r="G711" s="124" t="s">
        <v>438</v>
      </c>
      <c r="J711" s="123" t="s">
        <v>403</v>
      </c>
      <c r="K711" s="123">
        <v>1</v>
      </c>
      <c r="L711" s="98" t="s">
        <v>416</v>
      </c>
    </row>
    <row r="712" spans="1:12">
      <c r="A712" s="130" t="s">
        <v>15</v>
      </c>
      <c r="B712" s="123">
        <f>E704/E696</f>
        <v>1.0046158630197564</v>
      </c>
      <c r="C712" s="123" t="s">
        <v>67</v>
      </c>
      <c r="D712" s="123">
        <f>E705/E697</f>
        <v>1.0045835674642436</v>
      </c>
      <c r="E712" s="124" t="s">
        <v>256</v>
      </c>
      <c r="J712" s="123" t="s">
        <v>401</v>
      </c>
      <c r="K712" s="123">
        <v>500</v>
      </c>
      <c r="L712" s="98" t="s">
        <v>417</v>
      </c>
    </row>
    <row r="713" spans="1:12">
      <c r="A713" s="130" t="s">
        <v>170</v>
      </c>
      <c r="B713" s="123">
        <f>VAR(B709:B711)</f>
        <v>7.2154660107324469E-7</v>
      </c>
      <c r="C713" s="123" t="s">
        <v>170</v>
      </c>
      <c r="D713" s="123">
        <f>VAR(D709:D711)</f>
        <v>1.5973494606393925E-12</v>
      </c>
      <c r="E713" s="123">
        <f>VAR(G704:G706)</f>
        <v>27.44201205423451</v>
      </c>
      <c r="F713" s="124">
        <f>STDEV(G704:G706)/G708</f>
        <v>0.21738178694328725</v>
      </c>
      <c r="G713" s="124" t="s">
        <v>449</v>
      </c>
      <c r="L713" s="98"/>
    </row>
    <row r="714" spans="1:12">
      <c r="A714" s="130"/>
      <c r="E714" s="123">
        <f>E713/G708</f>
        <v>1.138757184139318</v>
      </c>
      <c r="G714" s="124" t="s">
        <v>438</v>
      </c>
      <c r="L714" s="98"/>
    </row>
    <row r="715" spans="1:12">
      <c r="A715" s="130"/>
      <c r="D715" s="123" t="s">
        <v>444</v>
      </c>
      <c r="L715" s="98"/>
    </row>
    <row r="716" spans="1:12">
      <c r="A716" s="130"/>
      <c r="B716" s="123">
        <f>B709</f>
        <v>1.0046790944411237</v>
      </c>
      <c r="D716" s="123">
        <f>ABS(C704-B705)/C704</f>
        <v>3.2594569586615555E-3</v>
      </c>
      <c r="E716" s="123" t="s">
        <v>446</v>
      </c>
      <c r="L716" s="98"/>
    </row>
    <row r="717" spans="1:12">
      <c r="A717" s="130"/>
      <c r="B717" s="123">
        <f t="shared" ref="B717:B718" si="1049">B710</f>
        <v>1.0034064222103378</v>
      </c>
      <c r="D717" s="123">
        <f>ABS((C696-B697)/C696)</f>
        <v>4.4374897820958969E-3</v>
      </c>
      <c r="E717" s="123" t="s">
        <v>445</v>
      </c>
      <c r="L717" s="98"/>
    </row>
    <row r="718" spans="1:12">
      <c r="A718" s="130"/>
      <c r="B718" s="123">
        <f t="shared" si="1049"/>
        <v>1.0030681461731492</v>
      </c>
      <c r="L718" s="98"/>
    </row>
    <row r="719" spans="1:12">
      <c r="A719" s="130"/>
      <c r="B719" s="123">
        <f>D709</f>
        <v>1.0045846276011865</v>
      </c>
      <c r="L719" s="98"/>
    </row>
    <row r="720" spans="1:12">
      <c r="A720" s="130"/>
      <c r="B720" s="123">
        <f t="shared" ref="B720:B721" si="1050">D710</f>
        <v>1.0045825393843428</v>
      </c>
      <c r="L720" s="98"/>
    </row>
    <row r="721" spans="1:12">
      <c r="A721" s="130"/>
      <c r="B721" s="123">
        <f t="shared" si="1050"/>
        <v>1.0045823499769795</v>
      </c>
      <c r="L721" s="98"/>
    </row>
    <row r="722" spans="1:12" ht="15.75" thickBot="1">
      <c r="A722" s="131" t="s">
        <v>170</v>
      </c>
      <c r="B722" s="126">
        <f>VAR(B716:B721)</f>
        <v>5.1323456954383671E-7</v>
      </c>
      <c r="C722" s="126"/>
      <c r="D722" s="126"/>
      <c r="E722" s="126"/>
      <c r="F722" s="126"/>
      <c r="G722" s="126"/>
      <c r="H722" s="126"/>
      <c r="I722" s="126"/>
      <c r="J722" s="126"/>
      <c r="K722" s="126"/>
      <c r="L722" s="127"/>
    </row>
    <row r="723" spans="1:12" ht="15.75" thickTop="1">
      <c r="A723" s="128"/>
      <c r="B723" s="121"/>
      <c r="C723" s="121"/>
      <c r="D723" s="121"/>
      <c r="E723" s="121"/>
      <c r="F723" s="133" t="s">
        <v>239</v>
      </c>
      <c r="G723" s="121"/>
      <c r="H723" s="121"/>
      <c r="I723" s="129" t="s">
        <v>435</v>
      </c>
      <c r="J723" s="121"/>
      <c r="K723" s="121"/>
      <c r="L723" s="122"/>
    </row>
    <row r="724" spans="1:12" ht="15.75" thickBot="1">
      <c r="A724" s="130" t="s">
        <v>167</v>
      </c>
      <c r="H724" s="123" t="s">
        <v>168</v>
      </c>
      <c r="L724" s="98"/>
    </row>
    <row r="725" spans="1:12" ht="15.75" thickTop="1">
      <c r="A725" s="1"/>
      <c r="B725" s="2" t="s">
        <v>0</v>
      </c>
      <c r="C725" s="2" t="s">
        <v>1</v>
      </c>
      <c r="D725" s="2" t="s">
        <v>2</v>
      </c>
      <c r="E725" s="3" t="s">
        <v>6</v>
      </c>
      <c r="F725" s="103" t="s">
        <v>70</v>
      </c>
      <c r="G725" s="103" t="s">
        <v>172</v>
      </c>
      <c r="H725" s="123" t="s">
        <v>3</v>
      </c>
      <c r="I725" s="123">
        <v>6</v>
      </c>
      <c r="K725" s="123" t="s">
        <v>19</v>
      </c>
      <c r="L725" s="123">
        <v>4.4921500000000003E-2</v>
      </c>
    </row>
    <row r="726" spans="1:12">
      <c r="A726" s="4" t="s">
        <v>3</v>
      </c>
      <c r="B726" s="100">
        <v>65973.5</v>
      </c>
      <c r="C726" s="5">
        <v>16829.8</v>
      </c>
      <c r="D726" s="5">
        <v>4183.25</v>
      </c>
      <c r="E726" s="104">
        <f>SUM(B726:D726)</f>
        <v>86986.55</v>
      </c>
      <c r="F726" s="123">
        <f>D726/C726</f>
        <v>0.24856207441561992</v>
      </c>
      <c r="G726" s="123">
        <f>B726/C726</f>
        <v>3.9200406421942033</v>
      </c>
      <c r="H726" s="123" t="s">
        <v>4</v>
      </c>
      <c r="I726" s="123">
        <v>12</v>
      </c>
      <c r="L726" s="98"/>
    </row>
    <row r="727" spans="1:12">
      <c r="A727" s="4" t="s">
        <v>4</v>
      </c>
      <c r="B727" s="5">
        <v>16702.3</v>
      </c>
      <c r="C727" s="5">
        <v>1456.49</v>
      </c>
      <c r="D727" s="5">
        <v>362.02699999999999</v>
      </c>
      <c r="E727" s="106">
        <f t="shared" ref="E727:E729" si="1051">SUM(B727:D727)</f>
        <v>18520.816999999999</v>
      </c>
      <c r="F727" s="123">
        <f t="shared" ref="F727:F729" si="1052">D727/C727</f>
        <v>0.24856126715597085</v>
      </c>
      <c r="G727" s="123">
        <f t="shared" ref="G727:G729" si="1053">B727/C727</f>
        <v>11.467500635088465</v>
      </c>
      <c r="H727" s="123" t="s">
        <v>5</v>
      </c>
      <c r="I727" s="123">
        <v>4</v>
      </c>
      <c r="L727" s="98"/>
    </row>
    <row r="728" spans="1:12">
      <c r="A728" s="4" t="s">
        <v>5</v>
      </c>
      <c r="B728" s="5">
        <v>4310.7700000000004</v>
      </c>
      <c r="C728" s="5">
        <v>234.50899999999999</v>
      </c>
      <c r="D728" s="5">
        <v>58.290100000000002</v>
      </c>
      <c r="E728" s="108">
        <f t="shared" si="1051"/>
        <v>4603.5691000000006</v>
      </c>
      <c r="F728" s="123">
        <f t="shared" si="1052"/>
        <v>0.24856231530559597</v>
      </c>
      <c r="G728" s="123">
        <f t="shared" si="1053"/>
        <v>18.382109002213138</v>
      </c>
      <c r="L728" s="98"/>
    </row>
    <row r="729" spans="1:12" ht="15.75" thickBot="1">
      <c r="A729" s="7"/>
      <c r="B729" s="105">
        <f>SUM(B726:B728)</f>
        <v>86986.57</v>
      </c>
      <c r="C729" s="107">
        <f>SUM(C726:C728)</f>
        <v>18520.798999999999</v>
      </c>
      <c r="D729" s="109">
        <f>SUM(D726:D728)</f>
        <v>4603.5671000000002</v>
      </c>
      <c r="E729" s="101">
        <f t="shared" si="1051"/>
        <v>110110.93610000001</v>
      </c>
      <c r="F729" s="123">
        <f t="shared" si="1052"/>
        <v>0.24856201398222616</v>
      </c>
      <c r="G729" s="123">
        <f t="shared" si="1053"/>
        <v>4.6966964006250489</v>
      </c>
      <c r="L729" s="98"/>
    </row>
    <row r="730" spans="1:12" ht="15.75" thickTop="1">
      <c r="A730" s="130"/>
      <c r="F730" s="124" t="s">
        <v>420</v>
      </c>
      <c r="G730" s="103">
        <f>AVERAGE(G726:G728)</f>
        <v>11.256550093165268</v>
      </c>
      <c r="L730" s="98"/>
    </row>
    <row r="731" spans="1:12">
      <c r="A731" s="130"/>
      <c r="J731" s="123" t="s">
        <v>419</v>
      </c>
      <c r="K731" s="123">
        <v>2</v>
      </c>
      <c r="L731" s="98"/>
    </row>
    <row r="732" spans="1:12" ht="15.75" thickBot="1">
      <c r="A732" s="140" t="s">
        <v>254</v>
      </c>
      <c r="J732" s="124" t="s">
        <v>218</v>
      </c>
      <c r="L732" s="98"/>
    </row>
    <row r="733" spans="1:12" ht="15.75" thickTop="1">
      <c r="A733" s="1"/>
      <c r="B733" s="2" t="s">
        <v>8</v>
      </c>
      <c r="C733" s="2" t="s">
        <v>9</v>
      </c>
      <c r="D733" s="2" t="s">
        <v>10</v>
      </c>
      <c r="E733" s="3" t="s">
        <v>11</v>
      </c>
      <c r="F733" s="103" t="s">
        <v>16</v>
      </c>
      <c r="G733" s="103" t="s">
        <v>172</v>
      </c>
      <c r="H733" s="124" t="s">
        <v>171</v>
      </c>
      <c r="J733" s="123">
        <f>0.13*2</f>
        <v>0.26</v>
      </c>
      <c r="K733" s="103" t="s">
        <v>212</v>
      </c>
      <c r="L733" s="98"/>
    </row>
    <row r="734" spans="1:12">
      <c r="A734" s="4" t="s">
        <v>3</v>
      </c>
      <c r="B734" s="100">
        <v>63753.9</v>
      </c>
      <c r="C734" s="5">
        <v>16715.900000000001</v>
      </c>
      <c r="D734" s="5">
        <v>3614.83</v>
      </c>
      <c r="E734" s="110">
        <f>SUM(B734:D734)</f>
        <v>84084.63</v>
      </c>
      <c r="F734" s="123">
        <f>D734/(B734+C734)</f>
        <v>4.4921573062192272E-2</v>
      </c>
      <c r="G734" s="123">
        <f>B734/C734</f>
        <v>3.8139675398871731</v>
      </c>
      <c r="H734" s="125">
        <f>ABS((E737-E729)/E729)</f>
        <v>2.7493073869163165E-2</v>
      </c>
      <c r="J734" s="123">
        <f>0.307*2</f>
        <v>0.61399999999999999</v>
      </c>
      <c r="K734" s="123" t="s">
        <v>213</v>
      </c>
      <c r="L734" s="98"/>
    </row>
    <row r="735" spans="1:12">
      <c r="A735" s="4" t="s">
        <v>4</v>
      </c>
      <c r="B735" s="5">
        <v>16158</v>
      </c>
      <c r="C735" s="5">
        <v>1446.63</v>
      </c>
      <c r="D735" s="5">
        <v>790.827</v>
      </c>
      <c r="E735" s="112">
        <f t="shared" ref="E735:E736" si="1054">SUM(B735:D735)</f>
        <v>18395.457000000002</v>
      </c>
      <c r="F735" s="123">
        <f t="shared" ref="F735:F737" si="1055">D735/(B735+C735)</f>
        <v>4.4921534846230793E-2</v>
      </c>
      <c r="G735" s="123">
        <f t="shared" ref="G735:G737" si="1056">B735/C735</f>
        <v>11.169407519545425</v>
      </c>
      <c r="J735" s="123">
        <f>0.23*2</f>
        <v>0.46</v>
      </c>
      <c r="K735" s="123" t="s">
        <v>214</v>
      </c>
      <c r="L735" s="98"/>
    </row>
    <row r="736" spans="1:12">
      <c r="A736" s="4" t="s">
        <v>5</v>
      </c>
      <c r="B736" s="5">
        <v>4172.7299999999996</v>
      </c>
      <c r="C736" s="5">
        <v>232.922</v>
      </c>
      <c r="D736" s="5">
        <v>197.90899999999999</v>
      </c>
      <c r="E736" s="108">
        <f t="shared" si="1054"/>
        <v>4603.5609999999988</v>
      </c>
      <c r="F736" s="123">
        <f t="shared" si="1055"/>
        <v>4.4921614326324466E-2</v>
      </c>
      <c r="G736" s="123">
        <f t="shared" si="1056"/>
        <v>17.91470964528898</v>
      </c>
      <c r="I736" s="123" t="s">
        <v>397</v>
      </c>
      <c r="K736" s="103" t="s">
        <v>215</v>
      </c>
      <c r="L736" s="98"/>
    </row>
    <row r="737" spans="1:12" ht="15.75" thickBot="1">
      <c r="A737" s="7"/>
      <c r="B737" s="111">
        <f>SUM(B734:B736)</f>
        <v>84084.62999999999</v>
      </c>
      <c r="C737" s="113">
        <f t="shared" ref="C737:D737" si="1057">SUM(C734:C736)</f>
        <v>18395.452000000001</v>
      </c>
      <c r="D737" s="109">
        <f t="shared" si="1057"/>
        <v>4603.5659999999998</v>
      </c>
      <c r="E737" s="102">
        <f>SUM(E734:E736)</f>
        <v>107083.648</v>
      </c>
      <c r="F737" s="123">
        <f t="shared" si="1055"/>
        <v>4.4921568271188539E-2</v>
      </c>
      <c r="G737" s="123">
        <f t="shared" si="1056"/>
        <v>4.5709466665999825</v>
      </c>
      <c r="I737" s="123" t="s">
        <v>398</v>
      </c>
      <c r="K737" s="103" t="s">
        <v>216</v>
      </c>
      <c r="L737" s="98"/>
    </row>
    <row r="738" spans="1:12" ht="15.75" thickTop="1">
      <c r="A738" s="130"/>
      <c r="F738" s="124" t="s">
        <v>420</v>
      </c>
      <c r="G738" s="103">
        <f>AVERAGE(G734:G736)</f>
        <v>10.966028234907192</v>
      </c>
      <c r="I738" s="123" t="s">
        <v>399</v>
      </c>
      <c r="K738" s="103" t="s">
        <v>217</v>
      </c>
      <c r="L738" s="98"/>
    </row>
    <row r="739" spans="1:12">
      <c r="A739" s="130" t="s">
        <v>12</v>
      </c>
      <c r="B739" s="123">
        <f>B734/B726</f>
        <v>0.9663561884696128</v>
      </c>
      <c r="C739" s="123" t="s">
        <v>163</v>
      </c>
      <c r="D739" s="123">
        <f>C734/C726</f>
        <v>0.9932322428074013</v>
      </c>
      <c r="E739" s="124" t="s">
        <v>255</v>
      </c>
      <c r="J739" s="124" t="s">
        <v>423</v>
      </c>
      <c r="L739" s="98"/>
    </row>
    <row r="740" spans="1:12">
      <c r="A740" s="130" t="s">
        <v>13</v>
      </c>
      <c r="B740" s="123">
        <f t="shared" ref="B740:B741" si="1058">B735/B727</f>
        <v>0.96741167384132731</v>
      </c>
      <c r="C740" s="123" t="s">
        <v>164</v>
      </c>
      <c r="D740" s="123">
        <f t="shared" ref="D740:D741" si="1059">C735/C727</f>
        <v>0.99323030024236358</v>
      </c>
      <c r="E740" s="123">
        <f>VAR(G726:G728)</f>
        <v>52.321230410818458</v>
      </c>
      <c r="F740" s="124">
        <f>STDEV(G726:G728)/G730</f>
        <v>0.64258956074331419</v>
      </c>
      <c r="G740" s="124" t="s">
        <v>449</v>
      </c>
      <c r="J740" s="123" t="s">
        <v>415</v>
      </c>
      <c r="L740" s="98"/>
    </row>
    <row r="741" spans="1:12">
      <c r="A741" s="130" t="s">
        <v>14</v>
      </c>
      <c r="B741" s="123">
        <f t="shared" si="1058"/>
        <v>0.96797787866204854</v>
      </c>
      <c r="C741" s="123" t="s">
        <v>165</v>
      </c>
      <c r="D741" s="123">
        <f t="shared" si="1059"/>
        <v>0.99323266910864838</v>
      </c>
      <c r="E741" s="123">
        <f>E740/G730</f>
        <v>4.6480697885035633</v>
      </c>
      <c r="G741" s="124" t="s">
        <v>438</v>
      </c>
      <c r="J741" s="123" t="s">
        <v>403</v>
      </c>
      <c r="K741" s="123">
        <v>1</v>
      </c>
      <c r="L741" s="98" t="s">
        <v>416</v>
      </c>
    </row>
    <row r="742" spans="1:12">
      <c r="A742" s="130" t="s">
        <v>15</v>
      </c>
      <c r="B742" s="123">
        <f>E734/E726</f>
        <v>0.9666394402353008</v>
      </c>
      <c r="C742" s="123" t="s">
        <v>67</v>
      </c>
      <c r="D742" s="123">
        <f>E735/E727</f>
        <v>0.99323140010508193</v>
      </c>
      <c r="E742" s="124" t="s">
        <v>256</v>
      </c>
      <c r="J742" s="123" t="s">
        <v>401</v>
      </c>
      <c r="K742" s="123">
        <v>500</v>
      </c>
      <c r="L742" s="98" t="s">
        <v>417</v>
      </c>
    </row>
    <row r="743" spans="1:12">
      <c r="A743" s="130" t="s">
        <v>170</v>
      </c>
      <c r="B743" s="123">
        <f>VAR(B739:B741)</f>
        <v>6.774193915255939E-7</v>
      </c>
      <c r="C743" s="123" t="s">
        <v>170</v>
      </c>
      <c r="D743" s="123">
        <f>VAR(D739:D741)</f>
        <v>1.5944698590439959E-12</v>
      </c>
      <c r="E743" s="123">
        <f>VAR(G734:G736)</f>
        <v>49.738754330827845</v>
      </c>
      <c r="F743" s="124">
        <f>STDEV(G734:G736)/G738</f>
        <v>0.64312899888193142</v>
      </c>
      <c r="G743" s="124" t="s">
        <v>449</v>
      </c>
      <c r="L743" s="98"/>
    </row>
    <row r="744" spans="1:12">
      <c r="A744" s="130"/>
      <c r="E744" s="123">
        <f>E743/G738</f>
        <v>4.5357127726973063</v>
      </c>
      <c r="G744" s="124" t="s">
        <v>438</v>
      </c>
      <c r="L744" s="98"/>
    </row>
    <row r="745" spans="1:12">
      <c r="A745" s="130"/>
      <c r="D745" s="123" t="s">
        <v>444</v>
      </c>
      <c r="L745" s="98"/>
    </row>
    <row r="746" spans="1:12">
      <c r="A746" s="130"/>
      <c r="B746" s="123">
        <f>B739</f>
        <v>0.9663561884696128</v>
      </c>
      <c r="D746" s="123">
        <f>ABS(C734-B735)/C734</f>
        <v>3.337540904169093E-2</v>
      </c>
      <c r="E746" s="123" t="s">
        <v>446</v>
      </c>
      <c r="L746" s="98"/>
    </row>
    <row r="747" spans="1:12">
      <c r="A747" s="130"/>
      <c r="B747" s="123">
        <f t="shared" ref="B747:B748" si="1060">B740</f>
        <v>0.96741167384132731</v>
      </c>
      <c r="D747" s="123">
        <f>ABS((C726-B727)/C726)</f>
        <v>7.5758476036554209E-3</v>
      </c>
      <c r="E747" s="123" t="s">
        <v>445</v>
      </c>
      <c r="L747" s="98"/>
    </row>
    <row r="748" spans="1:12">
      <c r="A748" s="130"/>
      <c r="B748" s="123">
        <f t="shared" si="1060"/>
        <v>0.96797787866204854</v>
      </c>
      <c r="L748" s="98"/>
    </row>
    <row r="749" spans="1:12">
      <c r="A749" s="130"/>
      <c r="B749" s="123">
        <f>D739</f>
        <v>0.9932322428074013</v>
      </c>
      <c r="L749" s="98"/>
    </row>
    <row r="750" spans="1:12">
      <c r="A750" s="130"/>
      <c r="B750" s="123">
        <f t="shared" ref="B750:B751" si="1061">D740</f>
        <v>0.99323030024236358</v>
      </c>
      <c r="L750" s="98"/>
    </row>
    <row r="751" spans="1:12">
      <c r="A751" s="130"/>
      <c r="B751" s="123">
        <f t="shared" si="1061"/>
        <v>0.99323266910864838</v>
      </c>
      <c r="L751" s="98"/>
    </row>
    <row r="752" spans="1:12" ht="15.75" thickBot="1">
      <c r="A752" s="131" t="s">
        <v>170</v>
      </c>
      <c r="B752" s="126">
        <f>VAR(B746:B751)</f>
        <v>2.0280830366397625E-4</v>
      </c>
      <c r="C752" s="126"/>
      <c r="D752" s="126"/>
      <c r="E752" s="126"/>
      <c r="F752" s="126"/>
      <c r="G752" s="126"/>
      <c r="H752" s="126"/>
      <c r="I752" s="126"/>
      <c r="J752" s="126"/>
      <c r="K752" s="126"/>
      <c r="L752" s="127"/>
    </row>
    <row r="753" spans="1:12" ht="15.75" thickTop="1">
      <c r="A753" s="128"/>
      <c r="B753" s="121"/>
      <c r="C753" s="121"/>
      <c r="D753" s="121"/>
      <c r="E753" s="121"/>
      <c r="F753" s="133" t="s">
        <v>239</v>
      </c>
      <c r="G753" s="121"/>
      <c r="H753" s="121"/>
      <c r="I753" s="129" t="s">
        <v>436</v>
      </c>
      <c r="J753" s="121"/>
      <c r="K753" s="121"/>
      <c r="L753" s="122"/>
    </row>
    <row r="754" spans="1:12" ht="15.75" thickBot="1">
      <c r="A754" s="130" t="s">
        <v>167</v>
      </c>
      <c r="H754" s="123" t="s">
        <v>168</v>
      </c>
      <c r="L754" s="98"/>
    </row>
    <row r="755" spans="1:12" ht="15.75" thickTop="1">
      <c r="A755" s="1"/>
      <c r="B755" s="2" t="s">
        <v>0</v>
      </c>
      <c r="C755" s="2" t="s">
        <v>1</v>
      </c>
      <c r="D755" s="2" t="s">
        <v>2</v>
      </c>
      <c r="E755" s="3" t="s">
        <v>6</v>
      </c>
      <c r="F755" s="103" t="s">
        <v>70</v>
      </c>
      <c r="G755" s="103" t="s">
        <v>172</v>
      </c>
      <c r="H755" s="123" t="s">
        <v>3</v>
      </c>
      <c r="I755" s="123">
        <v>6</v>
      </c>
      <c r="K755" s="123" t="s">
        <v>19</v>
      </c>
      <c r="L755" s="123">
        <v>3.93055E-2</v>
      </c>
    </row>
    <row r="756" spans="1:12">
      <c r="A756" s="4" t="s">
        <v>3</v>
      </c>
      <c r="B756" s="100">
        <v>146829</v>
      </c>
      <c r="C756" s="5">
        <v>20149.5</v>
      </c>
      <c r="D756" s="5">
        <v>7092.58</v>
      </c>
      <c r="E756" s="104">
        <f>SUM(B756:D756)</f>
        <v>174071.08</v>
      </c>
      <c r="F756" s="123">
        <f>D756/C756</f>
        <v>0.35199781632298566</v>
      </c>
      <c r="G756" s="123">
        <f>B756/C756</f>
        <v>7.2869798258021294</v>
      </c>
      <c r="H756" s="123" t="s">
        <v>4</v>
      </c>
      <c r="I756" s="123">
        <v>12</v>
      </c>
      <c r="L756" s="98"/>
    </row>
    <row r="757" spans="1:12">
      <c r="A757" s="4" t="s">
        <v>4</v>
      </c>
      <c r="B757" s="5">
        <v>20309.599999999999</v>
      </c>
      <c r="C757" s="5">
        <v>844.66300000000001</v>
      </c>
      <c r="D757" s="5">
        <v>297.32</v>
      </c>
      <c r="E757" s="106">
        <f t="shared" ref="E757:E759" si="1062">SUM(B757:D757)</f>
        <v>21451.582999999999</v>
      </c>
      <c r="F757" s="123">
        <f t="shared" ref="F757:F759" si="1063">D757/C757</f>
        <v>0.35199837094794018</v>
      </c>
      <c r="G757" s="123">
        <f t="shared" ref="G757:G759" si="1064">B757/C757</f>
        <v>24.044618978219713</v>
      </c>
      <c r="H757" s="123" t="s">
        <v>5</v>
      </c>
      <c r="I757" s="123">
        <v>4</v>
      </c>
      <c r="L757" s="98"/>
    </row>
    <row r="758" spans="1:12">
      <c r="A758" s="4" t="s">
        <v>5</v>
      </c>
      <c r="B758" s="5">
        <v>6932.44</v>
      </c>
      <c r="C758" s="5">
        <v>457.46600000000001</v>
      </c>
      <c r="D758" s="5">
        <v>161.02699999999999</v>
      </c>
      <c r="E758" s="108">
        <f t="shared" si="1062"/>
        <v>7550.933</v>
      </c>
      <c r="F758" s="123">
        <f t="shared" si="1063"/>
        <v>0.35199774409464307</v>
      </c>
      <c r="G758" s="123">
        <f t="shared" si="1064"/>
        <v>15.154000515885333</v>
      </c>
      <c r="L758" s="98"/>
    </row>
    <row r="759" spans="1:12" ht="15.75" thickBot="1">
      <c r="A759" s="7"/>
      <c r="B759" s="105">
        <f>SUM(B756:B758)</f>
        <v>174071.04000000001</v>
      </c>
      <c r="C759" s="107">
        <f>SUM(C756:C758)</f>
        <v>21451.629000000001</v>
      </c>
      <c r="D759" s="109">
        <f>SUM(D756:D758)</f>
        <v>7550.9269999999997</v>
      </c>
      <c r="E759" s="101">
        <f t="shared" si="1062"/>
        <v>203073.59599999999</v>
      </c>
      <c r="F759" s="123">
        <f t="shared" si="1063"/>
        <v>0.35199783662117218</v>
      </c>
      <c r="G759" s="123">
        <f t="shared" si="1064"/>
        <v>8.1145837455980612</v>
      </c>
      <c r="L759" s="98"/>
    </row>
    <row r="760" spans="1:12" ht="15.75" thickTop="1">
      <c r="A760" s="130"/>
      <c r="F760" s="124" t="s">
        <v>420</v>
      </c>
      <c r="G760" s="103">
        <f>AVERAGE(G756:G758)</f>
        <v>15.495199773302394</v>
      </c>
      <c r="L760" s="98"/>
    </row>
    <row r="761" spans="1:12">
      <c r="A761" s="130"/>
      <c r="J761" s="123" t="s">
        <v>419</v>
      </c>
      <c r="K761" s="123">
        <v>2.2000000000000002</v>
      </c>
      <c r="L761" s="98"/>
    </row>
    <row r="762" spans="1:12" ht="15.75" thickBot="1">
      <c r="A762" s="140" t="s">
        <v>254</v>
      </c>
      <c r="J762" s="124" t="s">
        <v>218</v>
      </c>
      <c r="L762" s="98"/>
    </row>
    <row r="763" spans="1:12" ht="15.75" thickTop="1">
      <c r="A763" s="1"/>
      <c r="B763" s="2" t="s">
        <v>8</v>
      </c>
      <c r="C763" s="2" t="s">
        <v>9</v>
      </c>
      <c r="D763" s="2" t="s">
        <v>10</v>
      </c>
      <c r="E763" s="3" t="s">
        <v>11</v>
      </c>
      <c r="F763" s="103" t="s">
        <v>16</v>
      </c>
      <c r="G763" s="103" t="s">
        <v>172</v>
      </c>
      <c r="H763" s="124" t="s">
        <v>171</v>
      </c>
      <c r="J763" s="123">
        <f>0.13*2.2</f>
        <v>0.28600000000000003</v>
      </c>
      <c r="K763" s="103" t="s">
        <v>212</v>
      </c>
      <c r="L763" s="98"/>
    </row>
    <row r="764" spans="1:12">
      <c r="A764" s="4" t="s">
        <v>3</v>
      </c>
      <c r="B764" s="100">
        <v>143786</v>
      </c>
      <c r="C764" s="5">
        <v>20281.400000000001</v>
      </c>
      <c r="D764" s="5">
        <v>6448.77</v>
      </c>
      <c r="E764" s="110">
        <f>SUM(B764:D764)</f>
        <v>170516.16999999998</v>
      </c>
      <c r="F764" s="123">
        <f>D764/(B764+C764)</f>
        <v>3.9305614643737885E-2</v>
      </c>
      <c r="G764" s="123">
        <f>B764/C764</f>
        <v>7.0895500310629442</v>
      </c>
      <c r="H764" s="125">
        <f>ABS((E767-E759)/E759)</f>
        <v>1.6813658039521808E-2</v>
      </c>
      <c r="J764" s="123">
        <f>0.307*2.2</f>
        <v>0.6754</v>
      </c>
      <c r="K764" s="123" t="s">
        <v>213</v>
      </c>
      <c r="L764" s="98"/>
    </row>
    <row r="765" spans="1:12">
      <c r="A765" s="4" t="s">
        <v>4</v>
      </c>
      <c r="B765" s="5">
        <v>19925.3</v>
      </c>
      <c r="C765" s="5">
        <v>850.19399999999996</v>
      </c>
      <c r="D765" s="5">
        <v>816.59199999999998</v>
      </c>
      <c r="E765" s="112">
        <f t="shared" ref="E765:E766" si="1065">SUM(B765:D765)</f>
        <v>21592.085999999999</v>
      </c>
      <c r="F765" s="123">
        <f t="shared" ref="F765:F767" si="1066">D765/(B765+C765)</f>
        <v>3.9305539497640825E-2</v>
      </c>
      <c r="G765" s="123">
        <f t="shared" ref="G765:G767" si="1067">B765/C765</f>
        <v>23.436180448227109</v>
      </c>
      <c r="J765" s="123">
        <f>0.23*2.2</f>
        <v>0.50600000000000012</v>
      </c>
      <c r="K765" s="123" t="s">
        <v>214</v>
      </c>
      <c r="L765" s="98"/>
    </row>
    <row r="766" spans="1:12">
      <c r="A766" s="4" t="s">
        <v>5</v>
      </c>
      <c r="B766" s="5">
        <v>6804.9</v>
      </c>
      <c r="C766" s="5">
        <v>460.46100000000001</v>
      </c>
      <c r="D766" s="5">
        <v>285.56900000000002</v>
      </c>
      <c r="E766" s="108">
        <f t="shared" si="1065"/>
        <v>7550.93</v>
      </c>
      <c r="F766" s="123">
        <f t="shared" si="1066"/>
        <v>3.9305548616235315E-2</v>
      </c>
      <c r="G766" s="123">
        <f t="shared" si="1067"/>
        <v>14.778450292207156</v>
      </c>
      <c r="I766" s="123" t="s">
        <v>397</v>
      </c>
      <c r="K766" s="103" t="s">
        <v>215</v>
      </c>
      <c r="L766" s="98"/>
    </row>
    <row r="767" spans="1:12" ht="15.75" thickBot="1">
      <c r="A767" s="7"/>
      <c r="B767" s="111">
        <f>SUM(B764:B766)</f>
        <v>170516.19999999998</v>
      </c>
      <c r="C767" s="113">
        <f t="shared" ref="C767:D767" si="1068">SUM(C764:C766)</f>
        <v>21592.055</v>
      </c>
      <c r="D767" s="109">
        <f t="shared" si="1068"/>
        <v>7550.9310000000005</v>
      </c>
      <c r="E767" s="102">
        <f>SUM(E764:E766)</f>
        <v>199659.18599999999</v>
      </c>
      <c r="F767" s="123">
        <f t="shared" si="1066"/>
        <v>3.9305604019983426E-2</v>
      </c>
      <c r="G767" s="123">
        <f t="shared" si="1067"/>
        <v>7.8971732889713362</v>
      </c>
      <c r="I767" s="123" t="s">
        <v>398</v>
      </c>
      <c r="K767" s="103" t="s">
        <v>216</v>
      </c>
      <c r="L767" s="98"/>
    </row>
    <row r="768" spans="1:12" ht="15.75" thickTop="1">
      <c r="A768" s="130"/>
      <c r="F768" s="124" t="s">
        <v>420</v>
      </c>
      <c r="G768" s="103">
        <f>AVERAGE(G764:G766)</f>
        <v>15.10139359049907</v>
      </c>
      <c r="I768" s="123" t="s">
        <v>399</v>
      </c>
      <c r="K768" s="103" t="s">
        <v>217</v>
      </c>
      <c r="L768" s="98"/>
    </row>
    <row r="769" spans="1:12">
      <c r="A769" s="130" t="s">
        <v>12</v>
      </c>
      <c r="B769" s="123">
        <f>B764/B756</f>
        <v>0.97927521130021999</v>
      </c>
      <c r="C769" s="123" t="s">
        <v>163</v>
      </c>
      <c r="D769" s="123">
        <f>C764/C756</f>
        <v>1.0065460681406486</v>
      </c>
      <c r="E769" s="124" t="s">
        <v>255</v>
      </c>
      <c r="J769" s="124" t="s">
        <v>423</v>
      </c>
      <c r="L769" s="98"/>
    </row>
    <row r="770" spans="1:12">
      <c r="A770" s="130" t="s">
        <v>13</v>
      </c>
      <c r="B770" s="123">
        <f t="shared" ref="B770:B771" si="1069">B765/B757</f>
        <v>0.98107791389293741</v>
      </c>
      <c r="C770" s="123" t="s">
        <v>164</v>
      </c>
      <c r="D770" s="123">
        <f t="shared" ref="D770:D771" si="1070">C765/C757</f>
        <v>1.0065481736503197</v>
      </c>
      <c r="E770" s="123">
        <f>VAR(G756:G758)</f>
        <v>70.291930190606081</v>
      </c>
      <c r="F770" s="124">
        <f>STDEV(G756:G758)/G760</f>
        <v>0.54107261617205304</v>
      </c>
      <c r="G770" s="124" t="s">
        <v>449</v>
      </c>
      <c r="J770" s="123" t="s">
        <v>415</v>
      </c>
      <c r="L770" s="98"/>
    </row>
    <row r="771" spans="1:12">
      <c r="A771" s="130" t="s">
        <v>14</v>
      </c>
      <c r="B771" s="123">
        <f t="shared" si="1069"/>
        <v>0.98160243723710561</v>
      </c>
      <c r="C771" s="123" t="s">
        <v>165</v>
      </c>
      <c r="D771" s="123">
        <f t="shared" si="1070"/>
        <v>1.0065469346355795</v>
      </c>
      <c r="E771" s="123">
        <f>E770/G760</f>
        <v>4.5363681152221247</v>
      </c>
      <c r="G771" s="124" t="s">
        <v>438</v>
      </c>
      <c r="J771" s="123" t="s">
        <v>403</v>
      </c>
      <c r="K771" s="123">
        <v>1</v>
      </c>
      <c r="L771" s="98" t="s">
        <v>416</v>
      </c>
    </row>
    <row r="772" spans="1:12">
      <c r="A772" s="130" t="s">
        <v>15</v>
      </c>
      <c r="B772" s="123">
        <f>E764/E756</f>
        <v>0.97957782533434046</v>
      </c>
      <c r="C772" s="123" t="s">
        <v>67</v>
      </c>
      <c r="D772" s="123">
        <f>E765/E757</f>
        <v>1.0065497730400597</v>
      </c>
      <c r="E772" s="124" t="s">
        <v>256</v>
      </c>
      <c r="J772" s="123" t="s">
        <v>401</v>
      </c>
      <c r="K772" s="123">
        <v>500</v>
      </c>
      <c r="L772" s="98" t="s">
        <v>417</v>
      </c>
    </row>
    <row r="773" spans="1:12">
      <c r="A773" s="130" t="s">
        <v>170</v>
      </c>
      <c r="B773" s="123">
        <f>VAR(B769:B771)</f>
        <v>1.4901403229467686E-6</v>
      </c>
      <c r="C773" s="123" t="s">
        <v>170</v>
      </c>
      <c r="D773" s="123">
        <f>VAR(D769:D771)</f>
        <v>1.1198569944178364E-12</v>
      </c>
      <c r="E773" s="123">
        <f>VAR(G764:G766)</f>
        <v>66.881300779272976</v>
      </c>
      <c r="F773" s="124">
        <f>STDEV(G764:G766)/G768</f>
        <v>0.5415459705556751</v>
      </c>
      <c r="G773" s="124" t="s">
        <v>449</v>
      </c>
      <c r="L773" s="98"/>
    </row>
    <row r="774" spans="1:12">
      <c r="A774" s="130"/>
      <c r="E774" s="123">
        <f>E773/G768</f>
        <v>4.4288164783249444</v>
      </c>
      <c r="G774" s="124" t="s">
        <v>438</v>
      </c>
      <c r="L774" s="98"/>
    </row>
    <row r="775" spans="1:12">
      <c r="A775" s="130"/>
      <c r="D775" s="123" t="s">
        <v>444</v>
      </c>
      <c r="L775" s="98"/>
    </row>
    <row r="776" spans="1:12">
      <c r="A776" s="130"/>
      <c r="B776" s="123">
        <f>B769</f>
        <v>0.97927521130021999</v>
      </c>
      <c r="D776" s="123">
        <f>ABS(C764-B765)/C764</f>
        <v>1.7557959509698649E-2</v>
      </c>
      <c r="E776" s="123" t="s">
        <v>446</v>
      </c>
      <c r="L776" s="98"/>
    </row>
    <row r="777" spans="1:12">
      <c r="A777" s="130"/>
      <c r="B777" s="123">
        <f t="shared" ref="B777:B778" si="1071">B770</f>
        <v>0.98107791389293741</v>
      </c>
      <c r="D777" s="123">
        <f>ABS((C756-B757)/C756)</f>
        <v>7.9456065907341899E-3</v>
      </c>
      <c r="E777" s="123" t="s">
        <v>445</v>
      </c>
      <c r="L777" s="98"/>
    </row>
    <row r="778" spans="1:12">
      <c r="A778" s="130"/>
      <c r="B778" s="123">
        <f t="shared" si="1071"/>
        <v>0.98160243723710561</v>
      </c>
      <c r="L778" s="98"/>
    </row>
    <row r="779" spans="1:12">
      <c r="A779" s="130"/>
      <c r="B779" s="123">
        <f>D769</f>
        <v>1.0065460681406486</v>
      </c>
      <c r="L779" s="98"/>
    </row>
    <row r="780" spans="1:12">
      <c r="A780" s="130"/>
      <c r="B780" s="123">
        <f t="shared" ref="B780:B781" si="1072">D770</f>
        <v>1.0065481736503197</v>
      </c>
      <c r="L780" s="98"/>
    </row>
    <row r="781" spans="1:12">
      <c r="A781" s="130"/>
      <c r="B781" s="123">
        <f t="shared" si="1072"/>
        <v>1.0065469346355795</v>
      </c>
      <c r="L781" s="98"/>
    </row>
    <row r="782" spans="1:12" ht="15.75" thickBot="1">
      <c r="A782" s="131" t="s">
        <v>170</v>
      </c>
      <c r="B782" s="126">
        <f>VAR(B776:B781)</f>
        <v>2.0176454397644698E-4</v>
      </c>
      <c r="C782" s="126"/>
      <c r="D782" s="126"/>
      <c r="E782" s="126"/>
      <c r="F782" s="126"/>
      <c r="G782" s="126"/>
      <c r="H782" s="126"/>
      <c r="I782" s="126"/>
      <c r="J782" s="126"/>
      <c r="K782" s="126"/>
      <c r="L782" s="127"/>
    </row>
    <row r="783" spans="1:12" ht="15.75" thickTop="1">
      <c r="A783" s="128"/>
      <c r="B783" s="121"/>
      <c r="C783" s="121"/>
      <c r="D783" s="121"/>
      <c r="E783" s="121"/>
      <c r="F783" s="133" t="s">
        <v>239</v>
      </c>
      <c r="G783" s="121"/>
      <c r="H783" s="121"/>
      <c r="I783" s="129" t="s">
        <v>454</v>
      </c>
      <c r="J783" s="121"/>
      <c r="K783" s="121"/>
      <c r="L783" s="122"/>
    </row>
    <row r="784" spans="1:12" ht="15.75" thickBot="1">
      <c r="A784" s="130" t="s">
        <v>167</v>
      </c>
      <c r="H784" s="123" t="s">
        <v>168</v>
      </c>
      <c r="L784" s="98"/>
    </row>
    <row r="785" spans="1:12" ht="15.75" thickTop="1">
      <c r="A785" s="1"/>
      <c r="B785" s="2" t="s">
        <v>0</v>
      </c>
      <c r="C785" s="2" t="s">
        <v>1</v>
      </c>
      <c r="D785" s="2" t="s">
        <v>2</v>
      </c>
      <c r="E785" s="3" t="s">
        <v>6</v>
      </c>
      <c r="F785" s="103" t="s">
        <v>70</v>
      </c>
      <c r="G785" s="103" t="s">
        <v>172</v>
      </c>
      <c r="H785" s="123" t="s">
        <v>3</v>
      </c>
      <c r="I785" s="123">
        <v>6</v>
      </c>
      <c r="K785" s="123" t="s">
        <v>19</v>
      </c>
      <c r="L785" s="123">
        <v>6.1752099999999997E-2</v>
      </c>
    </row>
    <row r="786" spans="1:12">
      <c r="A786" s="4" t="s">
        <v>3</v>
      </c>
      <c r="B786" s="100">
        <v>110923</v>
      </c>
      <c r="C786" s="5">
        <v>15503.2</v>
      </c>
      <c r="D786" s="5">
        <v>8387.8799999999992</v>
      </c>
      <c r="E786" s="104">
        <f>SUM(B786:D786)</f>
        <v>134814.07999999999</v>
      </c>
      <c r="F786" s="123">
        <f>D786/C786</f>
        <v>0.54104184942463485</v>
      </c>
      <c r="G786" s="123">
        <f>B786/C786</f>
        <v>7.154845451261675</v>
      </c>
      <c r="H786" s="123" t="s">
        <v>4</v>
      </c>
      <c r="I786" s="123">
        <v>12</v>
      </c>
      <c r="L786" s="98"/>
    </row>
    <row r="787" spans="1:12">
      <c r="A787" s="4" t="s">
        <v>4</v>
      </c>
      <c r="B787" s="5">
        <v>15705.7</v>
      </c>
      <c r="C787" s="5">
        <v>792.76</v>
      </c>
      <c r="D787" s="5">
        <v>428.91800000000001</v>
      </c>
      <c r="E787" s="106">
        <f t="shared" ref="E787:E789" si="1073">SUM(B787:D787)</f>
        <v>16927.378000000001</v>
      </c>
      <c r="F787" s="123">
        <f t="shared" ref="F787:F789" si="1074">D787/C787</f>
        <v>0.54104394772692876</v>
      </c>
      <c r="G787" s="123">
        <f t="shared" ref="G787:G789" si="1075">B787/C787</f>
        <v>19.81141833594026</v>
      </c>
      <c r="H787" s="123" t="s">
        <v>5</v>
      </c>
      <c r="I787" s="123">
        <v>4</v>
      </c>
      <c r="L787" s="98"/>
    </row>
    <row r="788" spans="1:12">
      <c r="A788" s="4" t="s">
        <v>5</v>
      </c>
      <c r="B788" s="5">
        <v>8185.32</v>
      </c>
      <c r="C788" s="5">
        <v>631.47799999999995</v>
      </c>
      <c r="D788" s="5">
        <v>341.65699999999998</v>
      </c>
      <c r="E788" s="108">
        <f t="shared" si="1073"/>
        <v>9158.4549999999981</v>
      </c>
      <c r="F788" s="123">
        <f t="shared" si="1074"/>
        <v>0.5410433934357175</v>
      </c>
      <c r="G788" s="123">
        <f t="shared" si="1075"/>
        <v>12.962161785525387</v>
      </c>
      <c r="L788" s="98"/>
    </row>
    <row r="789" spans="1:12" ht="15.75" thickBot="1">
      <c r="A789" s="7"/>
      <c r="B789" s="105">
        <f>SUM(B786:B788)</f>
        <v>134814.01999999999</v>
      </c>
      <c r="C789" s="107">
        <f>SUM(C786:C788)</f>
        <v>16927.438000000002</v>
      </c>
      <c r="D789" s="109">
        <f>SUM(D786:D788)</f>
        <v>9158.4549999999981</v>
      </c>
      <c r="E789" s="101">
        <f t="shared" si="1073"/>
        <v>160899.91299999997</v>
      </c>
      <c r="F789" s="123">
        <f t="shared" si="1074"/>
        <v>0.54104200529341751</v>
      </c>
      <c r="G789" s="123">
        <f t="shared" si="1075"/>
        <v>7.9642306177697995</v>
      </c>
      <c r="L789" s="98"/>
    </row>
    <row r="790" spans="1:12" ht="15.75" thickTop="1">
      <c r="A790" s="130"/>
      <c r="F790" s="124" t="s">
        <v>420</v>
      </c>
      <c r="G790" s="103">
        <f>AVERAGE(G786:G788)</f>
        <v>13.309475190909106</v>
      </c>
      <c r="L790" s="98"/>
    </row>
    <row r="791" spans="1:12">
      <c r="A791" s="130"/>
      <c r="J791" s="123" t="s">
        <v>419</v>
      </c>
      <c r="K791" s="123">
        <v>2.2000000000000002</v>
      </c>
      <c r="L791" s="98"/>
    </row>
    <row r="792" spans="1:12" ht="15.75" thickBot="1">
      <c r="A792" s="140" t="s">
        <v>254</v>
      </c>
      <c r="J792" s="124" t="s">
        <v>218</v>
      </c>
      <c r="L792" s="98"/>
    </row>
    <row r="793" spans="1:12" ht="15.75" thickTop="1">
      <c r="A793" s="1"/>
      <c r="B793" s="2" t="s">
        <v>8</v>
      </c>
      <c r="C793" s="2" t="s">
        <v>9</v>
      </c>
      <c r="D793" s="2" t="s">
        <v>10</v>
      </c>
      <c r="E793" s="3" t="s">
        <v>11</v>
      </c>
      <c r="F793" s="103" t="s">
        <v>16</v>
      </c>
      <c r="G793" s="103" t="s">
        <v>172</v>
      </c>
      <c r="H793" s="124" t="s">
        <v>171</v>
      </c>
      <c r="J793" s="123">
        <f>0.13*2.2</f>
        <v>0.28600000000000003</v>
      </c>
      <c r="K793" s="103" t="s">
        <v>212</v>
      </c>
      <c r="L793" s="98"/>
    </row>
    <row r="794" spans="1:12">
      <c r="A794" s="4" t="s">
        <v>3</v>
      </c>
      <c r="B794" s="100">
        <v>107721</v>
      </c>
      <c r="C794" s="5">
        <v>15758.4</v>
      </c>
      <c r="D794" s="5">
        <v>7625.08</v>
      </c>
      <c r="E794" s="110">
        <f>SUM(B794:D794)</f>
        <v>131104.47999999998</v>
      </c>
      <c r="F794" s="123">
        <f>D794/(B794+C794)</f>
        <v>6.1751838768247982E-2</v>
      </c>
      <c r="G794" s="123">
        <f>B794/C794</f>
        <v>6.8357828205909232</v>
      </c>
      <c r="H794" s="125">
        <f>ABS((E797-E789)/E789)</f>
        <v>2.1323547887810202E-2</v>
      </c>
      <c r="J794" s="123">
        <f>0.307*2.2</f>
        <v>0.6754</v>
      </c>
      <c r="K794" s="123" t="s">
        <v>213</v>
      </c>
      <c r="L794" s="98"/>
    </row>
    <row r="795" spans="1:12">
      <c r="A795" s="4" t="s">
        <v>4</v>
      </c>
      <c r="B795" s="5">
        <v>15399.5</v>
      </c>
      <c r="C795" s="5">
        <v>805.81100000000004</v>
      </c>
      <c r="D795" s="5">
        <v>1000.71</v>
      </c>
      <c r="E795" s="112">
        <f t="shared" ref="E795:E796" si="1076">SUM(B795:D795)</f>
        <v>17206.021000000001</v>
      </c>
      <c r="F795" s="123">
        <f t="shared" ref="F795:F797" si="1077">D795/(B795+C795)</f>
        <v>6.175197748441854E-2</v>
      </c>
      <c r="G795" s="123">
        <f t="shared" ref="G795:G797" si="1078">B795/C795</f>
        <v>19.110560664969825</v>
      </c>
      <c r="J795" s="123">
        <f>0.23*2.2</f>
        <v>0.50600000000000012</v>
      </c>
      <c r="K795" s="123" t="s">
        <v>214</v>
      </c>
      <c r="L795" s="98"/>
    </row>
    <row r="796" spans="1:12">
      <c r="A796" s="4" t="s">
        <v>5</v>
      </c>
      <c r="B796" s="5">
        <v>7983.92</v>
      </c>
      <c r="C796" s="5">
        <v>641.87400000000002</v>
      </c>
      <c r="D796" s="5">
        <v>532.66099999999994</v>
      </c>
      <c r="E796" s="108">
        <f t="shared" si="1076"/>
        <v>9158.4549999999999</v>
      </c>
      <c r="F796" s="123">
        <f t="shared" si="1077"/>
        <v>6.175211232728256E-2</v>
      </c>
      <c r="G796" s="123">
        <f t="shared" si="1078"/>
        <v>12.438453652897609</v>
      </c>
      <c r="I796" s="123" t="s">
        <v>397</v>
      </c>
      <c r="K796" s="103" t="s">
        <v>215</v>
      </c>
      <c r="L796" s="98"/>
    </row>
    <row r="797" spans="1:12" ht="15.75" thickBot="1">
      <c r="A797" s="7"/>
      <c r="B797" s="111">
        <f>SUM(B794:B796)</f>
        <v>131104.42000000001</v>
      </c>
      <c r="C797" s="113">
        <f t="shared" ref="C797:D797" si="1079">SUM(C794:C796)</f>
        <v>17206.084999999999</v>
      </c>
      <c r="D797" s="109">
        <f t="shared" si="1079"/>
        <v>9158.4510000000009</v>
      </c>
      <c r="E797" s="102">
        <f>SUM(E794:E796)</f>
        <v>157468.95599999998</v>
      </c>
      <c r="F797" s="123">
        <f t="shared" si="1077"/>
        <v>6.1751869835518398E-2</v>
      </c>
      <c r="G797" s="123">
        <f t="shared" si="1078"/>
        <v>7.6196543257806768</v>
      </c>
      <c r="I797" s="123" t="s">
        <v>398</v>
      </c>
      <c r="K797" s="103" t="s">
        <v>216</v>
      </c>
      <c r="L797" s="98"/>
    </row>
    <row r="798" spans="1:12" ht="15.75" thickTop="1">
      <c r="A798" s="130"/>
      <c r="F798" s="124" t="s">
        <v>420</v>
      </c>
      <c r="G798" s="103">
        <f>AVERAGE(G794:G796)</f>
        <v>12.794932379486118</v>
      </c>
      <c r="I798" s="123" t="s">
        <v>399</v>
      </c>
      <c r="K798" s="103" t="s">
        <v>217</v>
      </c>
      <c r="L798" s="98"/>
    </row>
    <row r="799" spans="1:12">
      <c r="A799" s="130" t="s">
        <v>12</v>
      </c>
      <c r="B799" s="123">
        <f>B794/B786</f>
        <v>0.97113312838635812</v>
      </c>
      <c r="C799" s="123" t="s">
        <v>163</v>
      </c>
      <c r="D799" s="123">
        <f>C794/C786</f>
        <v>1.0164611177047318</v>
      </c>
      <c r="E799" s="124" t="s">
        <v>255</v>
      </c>
      <c r="J799" s="124" t="s">
        <v>423</v>
      </c>
      <c r="L799" s="98"/>
    </row>
    <row r="800" spans="1:12">
      <c r="A800" s="130" t="s">
        <v>13</v>
      </c>
      <c r="B800" s="123">
        <f t="shared" ref="B800:B801" si="1080">B795/B787</f>
        <v>0.98050389349089817</v>
      </c>
      <c r="C800" s="123" t="s">
        <v>164</v>
      </c>
      <c r="D800" s="123">
        <f t="shared" ref="D800:D801" si="1081">C795/C787</f>
        <v>1.0164627377768809</v>
      </c>
      <c r="E800" s="123">
        <f>VAR(G786:G788)</f>
        <v>40.137679247464746</v>
      </c>
      <c r="F800" s="124">
        <f>STDEV(G786:G788)/G790</f>
        <v>0.47600903714823717</v>
      </c>
      <c r="G800" s="124" t="s">
        <v>449</v>
      </c>
      <c r="J800" s="123" t="s">
        <v>415</v>
      </c>
      <c r="L800" s="98"/>
    </row>
    <row r="801" spans="1:12">
      <c r="A801" s="130" t="s">
        <v>14</v>
      </c>
      <c r="B801" s="123">
        <f t="shared" si="1080"/>
        <v>0.97539497539497544</v>
      </c>
      <c r="C801" s="123" t="s">
        <v>165</v>
      </c>
      <c r="D801" s="123">
        <f t="shared" si="1081"/>
        <v>1.0164629646638523</v>
      </c>
      <c r="E801" s="123">
        <f>E800/G790</f>
        <v>3.0157221582170539</v>
      </c>
      <c r="G801" s="124" t="s">
        <v>438</v>
      </c>
      <c r="J801" s="123" t="s">
        <v>403</v>
      </c>
      <c r="K801" s="123">
        <v>1</v>
      </c>
      <c r="L801" s="98" t="s">
        <v>416</v>
      </c>
    </row>
    <row r="802" spans="1:12">
      <c r="A802" s="130" t="s">
        <v>15</v>
      </c>
      <c r="B802" s="123">
        <f>E794/E786</f>
        <v>0.97248358628416254</v>
      </c>
      <c r="C802" s="123" t="s">
        <v>67</v>
      </c>
      <c r="D802" s="123">
        <f>E795/E787</f>
        <v>1.0164610845223636</v>
      </c>
      <c r="E802" s="124" t="s">
        <v>256</v>
      </c>
      <c r="J802" s="123" t="s">
        <v>401</v>
      </c>
      <c r="K802" s="123">
        <v>500</v>
      </c>
      <c r="L802" s="98" t="s">
        <v>417</v>
      </c>
    </row>
    <row r="803" spans="1:12">
      <c r="A803" s="130" t="s">
        <v>170</v>
      </c>
      <c r="B803" s="123">
        <f>VAR(B799:B801)</f>
        <v>2.2012603780028756E-5</v>
      </c>
      <c r="C803" s="123" t="s">
        <v>170</v>
      </c>
      <c r="D803" s="123">
        <f>VAR(D799:D801)</f>
        <v>1.0145615765024389E-12</v>
      </c>
      <c r="E803" s="123">
        <f>VAR(G794:G796)</f>
        <v>37.762850594096449</v>
      </c>
      <c r="F803" s="124">
        <f>STDEV(G794:G796)/G798</f>
        <v>0.48027987636011704</v>
      </c>
      <c r="G803" s="124" t="s">
        <v>449</v>
      </c>
      <c r="L803" s="98"/>
    </row>
    <row r="804" spans="1:12">
      <c r="A804" s="130"/>
      <c r="E804" s="123">
        <f>E803/G798</f>
        <v>2.951391181608817</v>
      </c>
      <c r="G804" s="124" t="s">
        <v>438</v>
      </c>
      <c r="L804" s="98"/>
    </row>
    <row r="805" spans="1:12">
      <c r="A805" s="130"/>
      <c r="D805" s="123" t="s">
        <v>444</v>
      </c>
      <c r="L805" s="98"/>
    </row>
    <row r="806" spans="1:12">
      <c r="A806" s="130"/>
      <c r="B806" s="123">
        <f>B799</f>
        <v>0.97113312838635812</v>
      </c>
      <c r="D806" s="123">
        <f>ABS(C794-B795)/C794</f>
        <v>2.2775154838054604E-2</v>
      </c>
      <c r="E806" s="123" t="s">
        <v>446</v>
      </c>
      <c r="L806" s="98"/>
    </row>
    <row r="807" spans="1:12">
      <c r="A807" s="130"/>
      <c r="B807" s="123">
        <f t="shared" ref="B807:B808" si="1082">B800</f>
        <v>0.98050389349089817</v>
      </c>
      <c r="D807" s="123">
        <f>ABS((C786-B787)/C786)</f>
        <v>1.3061819495329996E-2</v>
      </c>
      <c r="E807" s="123" t="s">
        <v>445</v>
      </c>
      <c r="L807" s="98"/>
    </row>
    <row r="808" spans="1:12">
      <c r="A808" s="130"/>
      <c r="B808" s="123">
        <f t="shared" si="1082"/>
        <v>0.97539497539497544</v>
      </c>
      <c r="L808" s="98"/>
    </row>
    <row r="809" spans="1:12">
      <c r="A809" s="130"/>
      <c r="B809" s="123">
        <f>D799</f>
        <v>1.0164611177047318</v>
      </c>
      <c r="L809" s="98"/>
    </row>
    <row r="810" spans="1:12">
      <c r="A810" s="130"/>
      <c r="B810" s="123">
        <f t="shared" ref="B810:B811" si="1083">D800</f>
        <v>1.0164627377768809</v>
      </c>
      <c r="L810" s="98"/>
    </row>
    <row r="811" spans="1:12">
      <c r="A811" s="130"/>
      <c r="B811" s="123">
        <f t="shared" si="1083"/>
        <v>1.0164629646638523</v>
      </c>
      <c r="L811" s="98"/>
    </row>
    <row r="812" spans="1:12" ht="15.75" thickBot="1">
      <c r="A812" s="131" t="s">
        <v>170</v>
      </c>
      <c r="B812" s="126">
        <f>VAR(B806:B811)</f>
        <v>5.0782846459584594E-4</v>
      </c>
      <c r="C812" s="126"/>
      <c r="D812" s="126"/>
      <c r="E812" s="126"/>
      <c r="F812" s="126"/>
      <c r="G812" s="126"/>
      <c r="H812" s="126"/>
      <c r="I812" s="126"/>
      <c r="J812" s="126"/>
      <c r="K812" s="126"/>
      <c r="L812" s="127"/>
    </row>
    <row r="813" spans="1:12" ht="15.75" thickTop="1"/>
  </sheetData>
  <mergeCells count="6">
    <mergeCell ref="BG162:BK162"/>
    <mergeCell ref="A4:E4"/>
    <mergeCell ref="A12:E12"/>
    <mergeCell ref="AJ4:AN4"/>
    <mergeCell ref="AJ12:AN12"/>
    <mergeCell ref="BG154:BK154"/>
  </mergeCells>
  <pageMargins left="0.7" right="0.7" top="0.75" bottom="0.75" header="0.3" footer="0.3"/>
  <pageSetup paperSize="9" orientation="portrait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W488"/>
  <sheetViews>
    <sheetView tabSelected="1" topLeftCell="K383" zoomScale="85" zoomScaleNormal="85" workbookViewId="0">
      <selection activeCell="N393" sqref="N393"/>
    </sheetView>
  </sheetViews>
  <sheetFormatPr defaultRowHeight="15"/>
  <cols>
    <col min="1" max="1" width="16" customWidth="1"/>
    <col min="2" max="2" width="26" customWidth="1"/>
    <col min="3" max="3" width="32.42578125" customWidth="1"/>
    <col min="4" max="4" width="28" customWidth="1"/>
    <col min="5" max="5" width="24.5703125" customWidth="1"/>
    <col min="6" max="6" width="25.5703125" customWidth="1"/>
    <col min="7" max="7" width="22.42578125" customWidth="1"/>
    <col min="8" max="8" width="13.28515625" customWidth="1"/>
    <col min="9" max="9" width="13" customWidth="1"/>
    <col min="10" max="10" width="11.28515625" customWidth="1"/>
    <col min="11" max="11" width="11.7109375" customWidth="1"/>
    <col min="12" max="12" width="13" customWidth="1"/>
    <col min="13" max="13" width="22.140625" customWidth="1"/>
    <col min="14" max="14" width="18.28515625" customWidth="1"/>
    <col min="15" max="15" width="14.7109375" customWidth="1"/>
    <col min="16" max="16" width="24" customWidth="1"/>
    <col min="17" max="17" width="23.7109375" customWidth="1"/>
    <col min="19" max="19" width="27.42578125" customWidth="1"/>
    <col min="20" max="20" width="20.28515625" customWidth="1"/>
    <col min="21" max="21" width="18.7109375" customWidth="1"/>
    <col min="23" max="23" width="19.5703125" customWidth="1"/>
    <col min="24" max="24" width="19.140625" customWidth="1"/>
    <col min="29" max="29" width="29.7109375" customWidth="1"/>
    <col min="34" max="34" width="19.42578125" customWidth="1"/>
    <col min="35" max="35" width="17" customWidth="1"/>
    <col min="36" max="36" width="17.85546875" customWidth="1"/>
    <col min="37" max="37" width="17.140625" customWidth="1"/>
    <col min="38" max="38" width="19" customWidth="1"/>
    <col min="39" max="39" width="15" customWidth="1"/>
  </cols>
  <sheetData>
    <row r="1" spans="1:21">
      <c r="A1" s="388" t="s">
        <v>524</v>
      </c>
      <c r="B1" s="388"/>
      <c r="C1" s="388"/>
      <c r="D1" s="388"/>
    </row>
    <row r="3" spans="1:21" ht="15.75" thickBot="1">
      <c r="A3" s="120" t="s">
        <v>210</v>
      </c>
      <c r="G3" s="120" t="s">
        <v>209</v>
      </c>
      <c r="H3" s="120"/>
      <c r="I3" s="120"/>
      <c r="J3" s="120"/>
      <c r="K3" s="120"/>
    </row>
    <row r="4" spans="1:21" ht="15.75" thickTop="1">
      <c r="A4" s="143"/>
      <c r="B4" s="121"/>
      <c r="C4" s="121"/>
      <c r="D4" s="121"/>
      <c r="E4" s="129" t="s">
        <v>246</v>
      </c>
      <c r="F4" s="121"/>
      <c r="G4" s="144"/>
      <c r="H4" s="120"/>
      <c r="I4" s="143"/>
      <c r="J4" s="160"/>
      <c r="K4" s="160"/>
      <c r="L4" s="121"/>
      <c r="M4" s="129" t="s">
        <v>246</v>
      </c>
      <c r="N4" s="121"/>
      <c r="O4" s="122"/>
    </row>
    <row r="5" spans="1:21">
      <c r="A5" s="145"/>
      <c r="B5" s="123"/>
      <c r="C5" s="124" t="s">
        <v>258</v>
      </c>
      <c r="D5" s="124" t="s">
        <v>258</v>
      </c>
      <c r="E5" s="124" t="s">
        <v>258</v>
      </c>
      <c r="F5" s="124" t="s">
        <v>258</v>
      </c>
      <c r="G5" s="146"/>
      <c r="H5" s="120"/>
      <c r="I5" s="145"/>
      <c r="J5" s="133"/>
      <c r="K5" s="124" t="s">
        <v>258</v>
      </c>
      <c r="L5" s="124" t="s">
        <v>258</v>
      </c>
      <c r="M5" s="124" t="s">
        <v>258</v>
      </c>
      <c r="N5" s="124" t="s">
        <v>258</v>
      </c>
      <c r="O5" s="98"/>
    </row>
    <row r="6" spans="1:21">
      <c r="A6" s="130"/>
      <c r="B6" s="123"/>
      <c r="C6" s="147">
        <f>AVERAGE(C8:C12)</f>
        <v>7.7930435231807873E-3</v>
      </c>
      <c r="D6" s="147">
        <f>AVERAGE(D8:D12)</f>
        <v>7.8850728154038034E-3</v>
      </c>
      <c r="E6" s="148">
        <f>AVERAGE(E8:E12)</f>
        <v>7.0456306757873677E-3</v>
      </c>
      <c r="F6" s="164">
        <f>AVERAGE(F8:F12)</f>
        <v>0.12808159999999999</v>
      </c>
      <c r="G6" s="98"/>
      <c r="I6" s="130"/>
      <c r="J6" s="123"/>
      <c r="K6" s="147">
        <f>AVERAGE(K8:K12)</f>
        <v>3.9882955129871443E-3</v>
      </c>
      <c r="L6" s="147">
        <f>AVERAGE(L8:L12)</f>
        <v>4.0085136261609252E-3</v>
      </c>
      <c r="M6" s="148">
        <f>AVERAGE(M8:M12)</f>
        <v>1.0497911352939329E-2</v>
      </c>
      <c r="N6" s="149">
        <f>AVERAGE(N8:N12)</f>
        <v>0.46948679999999998</v>
      </c>
      <c r="O6" s="98"/>
    </row>
    <row r="7" spans="1:21" ht="90">
      <c r="A7" s="130" t="s">
        <v>168</v>
      </c>
      <c r="B7" s="123"/>
      <c r="C7" s="150" t="s">
        <v>255</v>
      </c>
      <c r="D7" s="150" t="s">
        <v>256</v>
      </c>
      <c r="E7" s="150" t="s">
        <v>171</v>
      </c>
      <c r="F7" s="151" t="s">
        <v>16</v>
      </c>
      <c r="G7" s="152" t="s">
        <v>208</v>
      </c>
      <c r="H7" s="30"/>
      <c r="I7" s="312" t="s">
        <v>168</v>
      </c>
      <c r="J7" s="123"/>
      <c r="K7" s="150" t="s">
        <v>255</v>
      </c>
      <c r="L7" s="150" t="s">
        <v>256</v>
      </c>
      <c r="M7" s="150" t="s">
        <v>171</v>
      </c>
      <c r="N7" s="151" t="s">
        <v>16</v>
      </c>
      <c r="O7" s="152" t="s">
        <v>208</v>
      </c>
    </row>
    <row r="8" spans="1:21">
      <c r="A8" s="130" t="s">
        <v>3</v>
      </c>
      <c r="B8" s="123">
        <v>6</v>
      </c>
      <c r="C8" s="123">
        <f>MatrixExamplesMathematica!E20</f>
        <v>1.1233808315234739E-2</v>
      </c>
      <c r="D8" s="123">
        <f>MatrixExamplesMathematica!E23</f>
        <v>1.1114107137342455E-2</v>
      </c>
      <c r="E8" s="153">
        <v>7.1995306113928747E-3</v>
      </c>
      <c r="F8" s="123">
        <v>0.13652600000000001</v>
      </c>
      <c r="G8" s="98" t="s">
        <v>174</v>
      </c>
      <c r="I8" s="130" t="s">
        <v>3</v>
      </c>
      <c r="J8" s="123">
        <v>6</v>
      </c>
      <c r="K8" s="123">
        <f>MatrixExamplesMathematica!E170</f>
        <v>3.6320054406046853E-3</v>
      </c>
      <c r="L8" s="123">
        <f>MatrixExamplesMathematica!E173</f>
        <v>3.6100630121029265E-3</v>
      </c>
      <c r="M8" s="125">
        <v>1.8384935827006697E-2</v>
      </c>
      <c r="N8" s="161">
        <v>0.475526</v>
      </c>
      <c r="O8" s="98" t="s">
        <v>183</v>
      </c>
      <c r="T8" t="s">
        <v>180</v>
      </c>
    </row>
    <row r="9" spans="1:21">
      <c r="A9" s="130" t="s">
        <v>4</v>
      </c>
      <c r="B9" s="123">
        <v>12</v>
      </c>
      <c r="C9" s="123">
        <f>MatrixExamplesMathematica!E50</f>
        <v>2.2136246188163011E-3</v>
      </c>
      <c r="D9" s="123">
        <f>MatrixExamplesMathematica!E53</f>
        <v>2.3127460847158776E-3</v>
      </c>
      <c r="E9" s="153">
        <v>3.6979254952379021E-4</v>
      </c>
      <c r="F9" s="123">
        <v>0.120867</v>
      </c>
      <c r="G9" s="98" t="s">
        <v>173</v>
      </c>
      <c r="I9" s="130" t="s">
        <v>4</v>
      </c>
      <c r="J9" s="123">
        <v>12</v>
      </c>
      <c r="K9" s="123">
        <f>MatrixExamplesMathematica!E200</f>
        <v>7.8006472668864513E-3</v>
      </c>
      <c r="L9" s="123">
        <f>MatrixExamplesMathematica!E203</f>
        <v>8.3225291754935316E-3</v>
      </c>
      <c r="M9" s="125">
        <v>1.5928128457194126E-2</v>
      </c>
      <c r="N9" s="162">
        <v>0.41960199999999997</v>
      </c>
      <c r="O9" s="98" t="s">
        <v>184</v>
      </c>
      <c r="T9">
        <f>B11</f>
        <v>22</v>
      </c>
      <c r="U9" s="99">
        <f>E6</f>
        <v>7.0456306757873677E-3</v>
      </c>
    </row>
    <row r="10" spans="1:21">
      <c r="A10" s="130" t="s">
        <v>5</v>
      </c>
      <c r="B10" s="123">
        <v>4</v>
      </c>
      <c r="C10" s="123">
        <f>MatrixExamplesMathematica!E80</f>
        <v>2.2416838810438433E-3</v>
      </c>
      <c r="D10" s="123">
        <f>MatrixExamplesMathematica!E83</f>
        <v>2.2851539096322981E-3</v>
      </c>
      <c r="E10" s="153">
        <v>3.3928711098269249E-3</v>
      </c>
      <c r="F10" s="123">
        <v>0.10675999999999999</v>
      </c>
      <c r="G10" s="98" t="s">
        <v>177</v>
      </c>
      <c r="I10" s="130" t="s">
        <v>5</v>
      </c>
      <c r="J10" s="123">
        <v>4</v>
      </c>
      <c r="K10" s="123">
        <f>MatrixExamplesMathematica!E230</f>
        <v>5.1114015197034623E-3</v>
      </c>
      <c r="L10" s="123">
        <f>MatrixExamplesMathematica!E233</f>
        <v>4.8102802986372817E-3</v>
      </c>
      <c r="M10" s="125">
        <v>1.4608342734599936E-3</v>
      </c>
      <c r="N10" s="162">
        <v>0.44540299999999999</v>
      </c>
      <c r="O10" s="98" t="s">
        <v>185</v>
      </c>
      <c r="T10">
        <f>B31</f>
        <v>75</v>
      </c>
      <c r="U10" s="116">
        <f>E26</f>
        <v>6.7100999474504694E-4</v>
      </c>
    </row>
    <row r="11" spans="1:21">
      <c r="A11" s="140" t="s">
        <v>257</v>
      </c>
      <c r="B11" s="124">
        <f>SUM(B8:B10)</f>
        <v>22</v>
      </c>
      <c r="C11" s="123">
        <f>MatrixExamplesMathematica!E110</f>
        <v>5.3755876453261964E-3</v>
      </c>
      <c r="D11" s="123">
        <f>MatrixExamplesMathematica!E113</f>
        <v>5.3841287928283466E-3</v>
      </c>
      <c r="E11" s="153">
        <v>6.86882688606628E-3</v>
      </c>
      <c r="F11" s="123">
        <v>0.107261</v>
      </c>
      <c r="G11" s="98" t="s">
        <v>178</v>
      </c>
      <c r="I11" s="140" t="s">
        <v>257</v>
      </c>
      <c r="J11" s="124">
        <f>SUM(J8:J10)</f>
        <v>22</v>
      </c>
      <c r="K11" s="123">
        <f>MatrixExamplesMathematica!E260</f>
        <v>1.9714738229459905E-3</v>
      </c>
      <c r="L11" s="123">
        <f>MatrixExamplesMathematica!E263</f>
        <v>1.794515391446927E-3</v>
      </c>
      <c r="M11" s="125">
        <v>9.6493429820870402E-3</v>
      </c>
      <c r="N11" s="162">
        <v>0.49345699999999998</v>
      </c>
      <c r="O11" s="98" t="s">
        <v>186</v>
      </c>
      <c r="T11">
        <f>B41</f>
        <v>115</v>
      </c>
      <c r="U11" s="116">
        <f>M36</f>
        <v>5.1763559708040846E-4</v>
      </c>
    </row>
    <row r="12" spans="1:21" ht="15.75" thickBot="1">
      <c r="A12" s="131"/>
      <c r="B12" s="126"/>
      <c r="C12" s="126">
        <f>MatrixExamplesMathematica!E140</f>
        <v>1.7900513155482856E-2</v>
      </c>
      <c r="D12" s="126">
        <f>MatrixExamplesMathematica!E143</f>
        <v>1.8329228152500043E-2</v>
      </c>
      <c r="E12" s="154">
        <v>1.7397132222126965E-2</v>
      </c>
      <c r="F12" s="126">
        <v>0.16899400000000001</v>
      </c>
      <c r="G12" s="127" t="s">
        <v>179</v>
      </c>
      <c r="I12" s="131"/>
      <c r="J12" s="126"/>
      <c r="K12" s="126">
        <f>MatrixExamplesMathematica!E290</f>
        <v>1.4259495147951329E-3</v>
      </c>
      <c r="L12" s="126">
        <f>MatrixExamplesMathematica!E293</f>
        <v>1.5051802531239611E-3</v>
      </c>
      <c r="M12" s="155">
        <v>7.0663152249487915E-3</v>
      </c>
      <c r="N12" s="163">
        <v>0.51344599999999996</v>
      </c>
      <c r="O12" s="127" t="s">
        <v>187</v>
      </c>
    </row>
    <row r="13" spans="1:21" ht="16.5" thickTop="1" thickBot="1">
      <c r="E13" s="117"/>
      <c r="M13" s="114"/>
      <c r="N13" s="119"/>
    </row>
    <row r="14" spans="1:21" ht="15.75" thickTop="1">
      <c r="A14" s="128"/>
      <c r="B14" s="121"/>
      <c r="C14" s="121"/>
      <c r="D14" s="121"/>
      <c r="E14" s="129" t="s">
        <v>246</v>
      </c>
      <c r="F14" s="121"/>
      <c r="G14" s="122"/>
    </row>
    <row r="15" spans="1:21">
      <c r="A15" s="130"/>
      <c r="B15" s="123"/>
      <c r="C15" s="124" t="s">
        <v>258</v>
      </c>
      <c r="D15" s="124" t="s">
        <v>258</v>
      </c>
      <c r="E15" s="124" t="s">
        <v>258</v>
      </c>
      <c r="F15" s="124" t="s">
        <v>258</v>
      </c>
      <c r="G15" s="98"/>
      <c r="Q15" s="116"/>
    </row>
    <row r="16" spans="1:21">
      <c r="A16" s="130"/>
      <c r="B16" s="123"/>
      <c r="C16" s="147">
        <f>AVERAGE(C18:C22)</f>
        <v>2.2977235976703535E-3</v>
      </c>
      <c r="D16" s="147">
        <f>AVERAGE(D18:D22)</f>
        <v>2.2934407498605312E-3</v>
      </c>
      <c r="E16" s="148">
        <f>AVERAGE(E18:E22)</f>
        <v>6.4210375887233662E-3</v>
      </c>
      <c r="F16" s="149">
        <f>AVERAGE(F18:F22)</f>
        <v>0.24325740000000001</v>
      </c>
      <c r="G16" s="98"/>
    </row>
    <row r="17" spans="1:20" ht="45">
      <c r="A17" s="130" t="s">
        <v>168</v>
      </c>
      <c r="B17" s="123"/>
      <c r="C17" s="150" t="s">
        <v>255</v>
      </c>
      <c r="D17" s="150" t="s">
        <v>256</v>
      </c>
      <c r="E17" s="150" t="s">
        <v>171</v>
      </c>
      <c r="F17" s="151" t="s">
        <v>16</v>
      </c>
      <c r="G17" s="152" t="s">
        <v>208</v>
      </c>
      <c r="H17" s="30"/>
      <c r="I17" s="30"/>
      <c r="J17" s="30"/>
      <c r="K17" s="30"/>
      <c r="O17" s="97" t="s">
        <v>251</v>
      </c>
      <c r="T17" s="97"/>
    </row>
    <row r="18" spans="1:20">
      <c r="A18" s="130" t="s">
        <v>3</v>
      </c>
      <c r="B18" s="123">
        <v>12</v>
      </c>
      <c r="C18" s="123">
        <f>MatrixExamplesMathematica!W20</f>
        <v>1.1366408367602387E-3</v>
      </c>
      <c r="D18" s="123">
        <f>MatrixExamplesMathematica!W23</f>
        <v>1.0877143199101713E-3</v>
      </c>
      <c r="E18" s="125">
        <v>5.3463375131078059E-3</v>
      </c>
      <c r="F18" s="123">
        <v>0.23080200000000001</v>
      </c>
      <c r="G18" s="98" t="s">
        <v>198</v>
      </c>
      <c r="O18" s="97" t="s">
        <v>252</v>
      </c>
      <c r="T18" s="97"/>
    </row>
    <row r="19" spans="1:20">
      <c r="A19" s="130" t="s">
        <v>4</v>
      </c>
      <c r="B19" s="123">
        <v>20</v>
      </c>
      <c r="C19" s="123">
        <f>MatrixExamplesMathematica!W50</f>
        <v>1.3923033134138896E-3</v>
      </c>
      <c r="D19" s="123">
        <f>MatrixExamplesMathematica!W53</f>
        <v>1.3827583562647794E-3</v>
      </c>
      <c r="E19" s="125">
        <v>4.6052556687539124E-3</v>
      </c>
      <c r="F19" s="123">
        <v>0.26251200000000002</v>
      </c>
      <c r="G19" s="98" t="s">
        <v>199</v>
      </c>
    </row>
    <row r="20" spans="1:20">
      <c r="A20" s="130" t="s">
        <v>5</v>
      </c>
      <c r="B20" s="123">
        <v>8</v>
      </c>
      <c r="C20" s="123">
        <f>MatrixExamplesMathematica!W80</f>
        <v>1.2588121990630974E-3</v>
      </c>
      <c r="D20" s="123">
        <f>MatrixExamplesMathematica!W83</f>
        <v>1.3000114430296028E-3</v>
      </c>
      <c r="E20" s="125">
        <v>5.8274327501008161E-3</v>
      </c>
      <c r="F20" s="123">
        <v>0.22032299999999999</v>
      </c>
      <c r="G20" s="98" t="s">
        <v>200</v>
      </c>
    </row>
    <row r="21" spans="1:20">
      <c r="A21" s="140" t="s">
        <v>257</v>
      </c>
      <c r="B21" s="124">
        <f>SUM(B18:B20)</f>
        <v>40</v>
      </c>
      <c r="C21" s="123">
        <f>MatrixExamplesMathematica!W110</f>
        <v>6.8711882681503633E-3</v>
      </c>
      <c r="D21" s="123">
        <f>MatrixExamplesMathematica!W113</f>
        <v>6.8105863624960961E-3</v>
      </c>
      <c r="E21" s="125">
        <v>1.2211832247160003E-2</v>
      </c>
      <c r="F21" s="123">
        <v>0.231132</v>
      </c>
      <c r="G21" s="98" t="s">
        <v>201</v>
      </c>
    </row>
    <row r="22" spans="1:20" ht="15.75" thickBot="1">
      <c r="A22" s="131"/>
      <c r="B22" s="126"/>
      <c r="C22" s="126">
        <f>MatrixExamplesMathematica!W140</f>
        <v>8.2967337096417904E-4</v>
      </c>
      <c r="D22" s="126">
        <f>MatrixExamplesMathematica!W143</f>
        <v>8.8613326760200728E-4</v>
      </c>
      <c r="E22" s="155">
        <v>4.1143297644942968E-3</v>
      </c>
      <c r="F22" s="126">
        <v>0.27151799999999998</v>
      </c>
      <c r="G22" s="127" t="s">
        <v>202</v>
      </c>
    </row>
    <row r="23" spans="1:20" ht="16.5" thickTop="1" thickBot="1">
      <c r="A23" s="123"/>
      <c r="B23" s="123"/>
      <c r="C23" s="123"/>
      <c r="D23" s="123"/>
      <c r="E23" s="125"/>
      <c r="F23" s="123"/>
      <c r="G23" s="123"/>
    </row>
    <row r="24" spans="1:20" ht="15.75" thickTop="1">
      <c r="A24" s="128"/>
      <c r="B24" s="121"/>
      <c r="C24" s="121"/>
      <c r="D24" s="121"/>
      <c r="E24" s="129" t="s">
        <v>246</v>
      </c>
      <c r="F24" s="121"/>
      <c r="G24" s="122"/>
    </row>
    <row r="25" spans="1:20">
      <c r="A25" s="130"/>
      <c r="B25" s="123"/>
      <c r="C25" s="124" t="s">
        <v>258</v>
      </c>
      <c r="D25" s="124" t="s">
        <v>258</v>
      </c>
      <c r="E25" s="124" t="s">
        <v>258</v>
      </c>
      <c r="F25" s="124" t="s">
        <v>258</v>
      </c>
      <c r="G25" s="98"/>
    </row>
    <row r="26" spans="1:20">
      <c r="A26" s="130"/>
      <c r="B26" s="123"/>
      <c r="C26" s="159">
        <f>AVERAGE(C28:C29)</f>
        <v>1.5648137812924787E-4</v>
      </c>
      <c r="D26" s="159">
        <f>AVERAGE(D28:D29)</f>
        <v>1.5662031058434709E-4</v>
      </c>
      <c r="E26" s="148">
        <f>AVERAGE(E28:E32)</f>
        <v>6.7100999474504694E-4</v>
      </c>
      <c r="F26" s="164">
        <f>AVERAGE(F28:F32)</f>
        <v>0.10562207999999999</v>
      </c>
      <c r="G26" s="98"/>
    </row>
    <row r="27" spans="1:20" ht="45">
      <c r="A27" s="130" t="s">
        <v>168</v>
      </c>
      <c r="B27" s="123"/>
      <c r="C27" s="150" t="s">
        <v>255</v>
      </c>
      <c r="D27" s="150" t="s">
        <v>256</v>
      </c>
      <c r="E27" s="150" t="s">
        <v>171</v>
      </c>
      <c r="F27" s="151" t="s">
        <v>16</v>
      </c>
      <c r="G27" s="152" t="s">
        <v>208</v>
      </c>
      <c r="H27" s="30"/>
      <c r="I27" s="30"/>
      <c r="J27" s="30"/>
      <c r="K27" s="30"/>
    </row>
    <row r="28" spans="1:20">
      <c r="A28" s="130" t="s">
        <v>3</v>
      </c>
      <c r="B28" s="123">
        <v>20</v>
      </c>
      <c r="C28" s="123">
        <f>MatrixExamplesMathematica!AN20</f>
        <v>2.1631777018489044E-5</v>
      </c>
      <c r="D28" s="123">
        <f>MatrixExamplesMathematica!AN23</f>
        <v>2.0590367125655063E-5</v>
      </c>
      <c r="E28" s="125">
        <v>4.8823940478887366E-4</v>
      </c>
      <c r="F28" s="123">
        <v>0.10761999999999999</v>
      </c>
      <c r="G28" s="98" t="s">
        <v>203</v>
      </c>
    </row>
    <row r="29" spans="1:20">
      <c r="A29" s="130" t="s">
        <v>4</v>
      </c>
      <c r="B29" s="123">
        <v>40</v>
      </c>
      <c r="C29" s="123">
        <f>MatrixExamplesMathematica!AN50</f>
        <v>2.913309792400067E-4</v>
      </c>
      <c r="D29" s="123">
        <f>MatrixExamplesMathematica!AN53</f>
        <v>2.9265025404303909E-4</v>
      </c>
      <c r="E29" s="125">
        <v>1.229877516312817E-3</v>
      </c>
      <c r="F29" s="123">
        <v>0.10509</v>
      </c>
      <c r="G29" s="98" t="s">
        <v>204</v>
      </c>
    </row>
    <row r="30" spans="1:20">
      <c r="A30" s="130" t="s">
        <v>5</v>
      </c>
      <c r="B30" s="123">
        <v>15</v>
      </c>
      <c r="C30" s="123">
        <f>MatrixExamplesMathematica!AN80</f>
        <v>8.9852487008838225E-5</v>
      </c>
      <c r="D30" s="123">
        <f>MatrixExamplesMathematica!AN83</f>
        <v>8.7695108892712765E-5</v>
      </c>
      <c r="E30" s="125">
        <v>9.9594566813343273E-4</v>
      </c>
      <c r="F30" s="123">
        <v>0.10700900000000001</v>
      </c>
      <c r="G30" s="98" t="s">
        <v>205</v>
      </c>
    </row>
    <row r="31" spans="1:20">
      <c r="A31" s="140" t="s">
        <v>257</v>
      </c>
      <c r="B31" s="124">
        <f>SUM(B28:B30)</f>
        <v>75</v>
      </c>
      <c r="C31" s="123">
        <f>MatrixExamplesMathematica!AN110</f>
        <v>5.7588313081247122E-4</v>
      </c>
      <c r="D31" s="123">
        <f>MatrixExamplesMathematica!AN113</f>
        <v>5.6709614975114508E-4</v>
      </c>
      <c r="E31" s="125">
        <v>5.7890233340900554E-4</v>
      </c>
      <c r="F31" s="123">
        <v>0.11360000000000001</v>
      </c>
      <c r="G31" s="98" t="s">
        <v>206</v>
      </c>
    </row>
    <row r="32" spans="1:20" ht="15.75" thickBot="1">
      <c r="A32" s="131"/>
      <c r="B32" s="126"/>
      <c r="C32" s="126">
        <f>MatrixExamplesMathematica!AN140</f>
        <v>3.9311506263081482E-5</v>
      </c>
      <c r="D32" s="126">
        <f>MatrixExamplesMathematica!AN143</f>
        <v>3.9255550166850238E-5</v>
      </c>
      <c r="E32" s="155">
        <v>6.2085051081106466E-5</v>
      </c>
      <c r="F32" s="126">
        <v>9.4791399999999998E-2</v>
      </c>
      <c r="G32" s="127" t="s">
        <v>207</v>
      </c>
    </row>
    <row r="33" spans="1:22" ht="16.5" thickTop="1" thickBot="1">
      <c r="E33" s="114"/>
    </row>
    <row r="34" spans="1:22" ht="15.75" thickTop="1">
      <c r="A34" s="128"/>
      <c r="B34" s="121"/>
      <c r="C34" s="121"/>
      <c r="D34" s="121"/>
      <c r="E34" s="129" t="s">
        <v>246</v>
      </c>
      <c r="F34" s="121"/>
      <c r="G34" s="122"/>
      <c r="I34" s="128"/>
      <c r="J34" s="121"/>
      <c r="K34" s="121"/>
      <c r="L34" s="121"/>
      <c r="M34" s="129" t="s">
        <v>246</v>
      </c>
      <c r="N34" s="121"/>
      <c r="O34" s="122"/>
    </row>
    <row r="35" spans="1:22">
      <c r="A35" s="130"/>
      <c r="B35" s="123"/>
      <c r="C35" s="123"/>
      <c r="D35" s="123"/>
      <c r="E35" s="123"/>
      <c r="F35" s="123"/>
      <c r="G35" s="98"/>
      <c r="I35" s="130"/>
      <c r="J35" s="123"/>
      <c r="K35" s="124" t="s">
        <v>258</v>
      </c>
      <c r="L35" s="124" t="s">
        <v>258</v>
      </c>
      <c r="M35" s="124" t="s">
        <v>258</v>
      </c>
      <c r="N35" s="124" t="s">
        <v>258</v>
      </c>
      <c r="O35" s="98"/>
    </row>
    <row r="36" spans="1:22">
      <c r="A36" s="130"/>
      <c r="B36" s="123"/>
      <c r="C36" s="159">
        <f>AVERAGE(C38:C39)</f>
        <v>2.2746436379327361E-4</v>
      </c>
      <c r="D36" s="159">
        <f>AVERAGE(D38:D39)</f>
        <v>2.2337948820456768E-4</v>
      </c>
      <c r="E36" s="148">
        <f>AVERAGE(E38:E42)</f>
        <v>1.7115783416101521E-3</v>
      </c>
      <c r="F36" s="149">
        <f>AVERAGE(F38:F42)</f>
        <v>0.48021484270632253</v>
      </c>
      <c r="G36" s="98"/>
      <c r="I36" s="130"/>
      <c r="J36" s="123"/>
      <c r="K36" s="159">
        <f>AVERAGE(K38:K42)</f>
        <v>5.904146544073533E-5</v>
      </c>
      <c r="L36" s="159">
        <f>AVERAGE(L38:L42)</f>
        <v>5.8949005211572568E-5</v>
      </c>
      <c r="M36" s="148">
        <f>AVERAGE(M38:M42)</f>
        <v>5.1763559708040846E-4</v>
      </c>
      <c r="N36" s="164">
        <f>AVERAGE(N38:N42)</f>
        <v>0.11344799999999999</v>
      </c>
      <c r="O36" s="98"/>
      <c r="U36" t="s">
        <v>182</v>
      </c>
    </row>
    <row r="37" spans="1:22" ht="90">
      <c r="A37" s="130" t="s">
        <v>168</v>
      </c>
      <c r="B37" s="123"/>
      <c r="C37" s="150" t="s">
        <v>255</v>
      </c>
      <c r="D37" s="150" t="s">
        <v>256</v>
      </c>
      <c r="E37" s="150" t="s">
        <v>171</v>
      </c>
      <c r="F37" s="151" t="s">
        <v>16</v>
      </c>
      <c r="G37" s="152" t="s">
        <v>208</v>
      </c>
      <c r="H37" s="30"/>
      <c r="I37" s="312" t="s">
        <v>168</v>
      </c>
      <c r="J37" s="123"/>
      <c r="K37" s="150" t="s">
        <v>255</v>
      </c>
      <c r="L37" s="150" t="s">
        <v>256</v>
      </c>
      <c r="M37" s="150" t="s">
        <v>171</v>
      </c>
      <c r="N37" s="151" t="s">
        <v>16</v>
      </c>
      <c r="O37" s="152" t="s">
        <v>208</v>
      </c>
      <c r="U37" s="118">
        <f>N36</f>
        <v>0.11344799999999999</v>
      </c>
      <c r="V37" s="99">
        <f>M36</f>
        <v>5.1763559708040846E-4</v>
      </c>
    </row>
    <row r="38" spans="1:22">
      <c r="A38" s="130" t="s">
        <v>3</v>
      </c>
      <c r="B38" s="123">
        <v>30</v>
      </c>
      <c r="C38" s="123">
        <f>MatrixExamplesMathematica!BK20</f>
        <v>8.2770527367824495E-5</v>
      </c>
      <c r="D38" s="123">
        <f>MatrixExamplesMathematica!BK23</f>
        <v>8.1657167915804262E-5</v>
      </c>
      <c r="E38" s="156">
        <v>1.2928467894564092E-6</v>
      </c>
      <c r="F38" s="123">
        <v>0.48769621353161285</v>
      </c>
      <c r="G38" s="98" t="s">
        <v>188</v>
      </c>
      <c r="I38" s="130" t="s">
        <v>3</v>
      </c>
      <c r="J38" s="123">
        <v>30</v>
      </c>
      <c r="K38" s="123">
        <f>MatrixExamplesMathematica!BK170</f>
        <v>3.7431234500043124E-5</v>
      </c>
      <c r="L38" s="123">
        <f>MatrixExamplesMathematica!BK173</f>
        <v>3.7213895112802026E-5</v>
      </c>
      <c r="M38" s="132">
        <v>2.8768451853929301E-4</v>
      </c>
      <c r="N38" s="123">
        <v>0.110121</v>
      </c>
      <c r="O38" s="98" t="s">
        <v>193</v>
      </c>
      <c r="U38" s="118">
        <f>F36</f>
        <v>0.48021484270632253</v>
      </c>
      <c r="V38" s="99">
        <f>E36</f>
        <v>1.7115783416101521E-3</v>
      </c>
    </row>
    <row r="39" spans="1:22">
      <c r="A39" s="130" t="s">
        <v>4</v>
      </c>
      <c r="B39" s="123">
        <v>60</v>
      </c>
      <c r="C39" s="123">
        <f>MatrixExamplesMathematica!BK80</f>
        <v>3.7215820021872272E-4</v>
      </c>
      <c r="D39" s="123">
        <f>MatrixExamplesMathematica!BK83</f>
        <v>3.6510180849333109E-4</v>
      </c>
      <c r="E39" s="156">
        <v>2.5929655860993579E-3</v>
      </c>
      <c r="F39" s="123">
        <v>0.48247499999999999</v>
      </c>
      <c r="G39" s="98" t="s">
        <v>189</v>
      </c>
      <c r="I39" s="130" t="s">
        <v>4</v>
      </c>
      <c r="J39" s="123">
        <v>60</v>
      </c>
      <c r="K39" s="123">
        <f>MatrixExamplesMathematica!BK200</f>
        <v>3.7954503821870721E-5</v>
      </c>
      <c r="L39" s="123">
        <f>MatrixExamplesMathematica!BK203</f>
        <v>3.8274887421395001E-5</v>
      </c>
      <c r="M39" s="132">
        <v>9.1035487288154121E-5</v>
      </c>
      <c r="N39" s="123">
        <v>0.12712899999999999</v>
      </c>
      <c r="O39" s="98" t="s">
        <v>194</v>
      </c>
      <c r="U39" t="s">
        <v>181</v>
      </c>
    </row>
    <row r="40" spans="1:22">
      <c r="A40" s="130" t="s">
        <v>5</v>
      </c>
      <c r="B40" s="123">
        <v>25</v>
      </c>
      <c r="C40" s="123">
        <f>MatrixExamplesMathematica!BK110</f>
        <v>5.8667647295086047E-5</v>
      </c>
      <c r="D40" s="123">
        <f>MatrixExamplesMathematica!BK113</f>
        <v>5.6933097954741003E-5</v>
      </c>
      <c r="E40" s="156">
        <v>1.8358483577175372E-3</v>
      </c>
      <c r="F40" s="123">
        <v>0.47154000000000001</v>
      </c>
      <c r="G40" s="98" t="s">
        <v>190</v>
      </c>
      <c r="I40" s="130" t="s">
        <v>5</v>
      </c>
      <c r="J40" s="123">
        <v>25</v>
      </c>
      <c r="K40" s="123">
        <f>MatrixExamplesMathematica!BK230</f>
        <v>1.5973054107346283E-4</v>
      </c>
      <c r="L40" s="123">
        <f>MatrixExamplesMathematica!BK233</f>
        <v>1.5869745466247901E-4</v>
      </c>
      <c r="M40" s="132">
        <v>1.32660343227614E-3</v>
      </c>
      <c r="N40" s="123">
        <v>0.11326799999999999</v>
      </c>
      <c r="O40" s="98" t="s">
        <v>195</v>
      </c>
      <c r="U40" s="118">
        <f>F6</f>
        <v>0.12808159999999999</v>
      </c>
      <c r="V40" s="99">
        <f>E6</f>
        <v>7.0456306757873677E-3</v>
      </c>
    </row>
    <row r="41" spans="1:22">
      <c r="A41" s="140" t="s">
        <v>257</v>
      </c>
      <c r="B41" s="124">
        <f>SUM(B38:B40)</f>
        <v>115</v>
      </c>
      <c r="C41" s="123">
        <f>MatrixExamplesMathematica!BK140</f>
        <v>6.731336921754373E-5</v>
      </c>
      <c r="D41" s="123">
        <f>MatrixExamplesMathematica!BK143</f>
        <v>6.7909339667712593E-5</v>
      </c>
      <c r="E41" s="156">
        <v>1.2914108871899606E-3</v>
      </c>
      <c r="F41" s="123">
        <v>0.47693999999999998</v>
      </c>
      <c r="G41" s="98" t="s">
        <v>191</v>
      </c>
      <c r="I41" s="140" t="s">
        <v>257</v>
      </c>
      <c r="J41" s="124">
        <f>SUM(J38:J40)</f>
        <v>115</v>
      </c>
      <c r="K41" s="123">
        <f>MatrixExamplesMathematica!BK261</f>
        <v>2.5146013996128244E-5</v>
      </c>
      <c r="L41" s="123">
        <f>MatrixExamplesMathematica!BK264</f>
        <v>2.5732240995389311E-5</v>
      </c>
      <c r="M41" s="132">
        <v>4.8126619810646293E-4</v>
      </c>
      <c r="N41" s="123">
        <v>0.11444799999999999</v>
      </c>
      <c r="O41" s="98" t="s">
        <v>196</v>
      </c>
      <c r="U41" s="118">
        <f>N6</f>
        <v>0.46948679999999998</v>
      </c>
      <c r="V41" s="99">
        <f>M6</f>
        <v>1.0497911352939329E-2</v>
      </c>
    </row>
    <row r="42" spans="1:22" ht="15.75" thickBot="1">
      <c r="A42" s="131"/>
      <c r="B42" s="126"/>
      <c r="C42" s="126">
        <f>MatrixExamplesMathematica!BK50</f>
        <v>2.0832758488368436E-4</v>
      </c>
      <c r="D42" s="126">
        <f>MatrixExamplesMathematica!BK53</f>
        <v>2.1376349956106635E-4</v>
      </c>
      <c r="E42" s="157">
        <v>2.8363740302544496E-3</v>
      </c>
      <c r="F42" s="126">
        <v>0.48242299999999999</v>
      </c>
      <c r="G42" s="127" t="s">
        <v>192</v>
      </c>
      <c r="I42" s="131"/>
      <c r="J42" s="126"/>
      <c r="K42" s="126">
        <f>MatrixExamplesMathematica!BK291</f>
        <v>3.4945033812171763E-5</v>
      </c>
      <c r="L42" s="126">
        <f>MatrixExamplesMathematica!BK294</f>
        <v>3.482654786579749E-5</v>
      </c>
      <c r="M42" s="157">
        <v>4.0158834919199236E-4</v>
      </c>
      <c r="N42" s="126">
        <v>0.102274</v>
      </c>
      <c r="O42" s="127" t="s">
        <v>197</v>
      </c>
    </row>
    <row r="43" spans="1:22" ht="16.5" thickTop="1" thickBot="1">
      <c r="E43" s="115"/>
      <c r="Q43" s="115"/>
    </row>
    <row r="44" spans="1:22" ht="15.75" thickTop="1">
      <c r="A44" s="128"/>
      <c r="B44" s="121"/>
      <c r="C44" s="121"/>
      <c r="D44" s="121"/>
      <c r="E44" s="129" t="s">
        <v>246</v>
      </c>
      <c r="F44" s="121"/>
      <c r="G44" s="122"/>
    </row>
    <row r="45" spans="1:22">
      <c r="A45" s="130"/>
      <c r="B45" s="123"/>
      <c r="C45" s="159">
        <f>AVERAGE(C47:C48)</f>
        <v>3.6738624695547244E-5</v>
      </c>
      <c r="D45" s="159">
        <f>AVERAGE(D47:D48)</f>
        <v>3.6989358768582572E-5</v>
      </c>
      <c r="E45" s="148">
        <f>AVERAGE(E47:E51)</f>
        <v>1.6451379682889647E-3</v>
      </c>
      <c r="F45" s="149">
        <f>AVERAGE(F47:F51)</f>
        <v>0.91100171603448965</v>
      </c>
      <c r="G45" s="98"/>
    </row>
    <row r="46" spans="1:22" ht="45">
      <c r="A46" s="130" t="s">
        <v>168</v>
      </c>
      <c r="B46" s="123"/>
      <c r="C46" s="150" t="s">
        <v>255</v>
      </c>
      <c r="D46" s="150" t="s">
        <v>256</v>
      </c>
      <c r="E46" s="150" t="s">
        <v>171</v>
      </c>
      <c r="F46" s="151" t="s">
        <v>16</v>
      </c>
      <c r="G46" s="152" t="s">
        <v>208</v>
      </c>
      <c r="H46" s="30"/>
      <c r="I46" s="30"/>
      <c r="J46" s="30"/>
      <c r="K46" s="30"/>
      <c r="L46" s="123"/>
    </row>
    <row r="47" spans="1:22" ht="15.75" thickBot="1">
      <c r="A47" s="130" t="s">
        <v>3</v>
      </c>
      <c r="B47" s="123">
        <v>50</v>
      </c>
      <c r="C47" s="123">
        <f>MatrixExamplesMathematica!CG20</f>
        <v>3.9457617588774722E-5</v>
      </c>
      <c r="D47" s="123">
        <f>MatrixExamplesMathematica!CG23</f>
        <v>3.9709101069335751E-5</v>
      </c>
      <c r="E47" s="132">
        <v>1.8110546111566154E-3</v>
      </c>
      <c r="F47" s="123">
        <v>0.91309043206897933</v>
      </c>
      <c r="G47" s="98" t="s">
        <v>175</v>
      </c>
      <c r="I47" s="124" t="s">
        <v>246</v>
      </c>
    </row>
    <row r="48" spans="1:22" ht="86.25" customHeight="1" thickTop="1">
      <c r="A48" s="130" t="s">
        <v>4</v>
      </c>
      <c r="B48" s="123">
        <v>100</v>
      </c>
      <c r="C48" s="123">
        <f>MatrixExamplesMathematica!CG50</f>
        <v>3.4019631802319772E-5</v>
      </c>
      <c r="D48" s="123">
        <f>MatrixExamplesMathematica!CG53</f>
        <v>3.4269616467829394E-5</v>
      </c>
      <c r="E48" s="132">
        <v>1.4792213254213142E-3</v>
      </c>
      <c r="F48" s="123">
        <v>0.90891299999999997</v>
      </c>
      <c r="G48" s="98" t="s">
        <v>176</v>
      </c>
      <c r="I48" s="166" t="s">
        <v>180</v>
      </c>
      <c r="J48" s="167" t="s">
        <v>255</v>
      </c>
      <c r="K48" s="167" t="s">
        <v>256</v>
      </c>
      <c r="L48" s="168" t="s">
        <v>16</v>
      </c>
      <c r="M48" s="167" t="s">
        <v>261</v>
      </c>
      <c r="N48" s="167" t="s">
        <v>262</v>
      </c>
    </row>
    <row r="49" spans="1:20">
      <c r="A49" s="130" t="s">
        <v>5</v>
      </c>
      <c r="B49" s="123">
        <v>40</v>
      </c>
      <c r="C49" s="123"/>
      <c r="D49" s="123"/>
      <c r="E49" s="123"/>
      <c r="F49" s="123"/>
      <c r="G49" s="98"/>
      <c r="I49" s="4">
        <f>B11</f>
        <v>22</v>
      </c>
      <c r="J49" s="169">
        <f>C6</f>
        <v>7.7930435231807873E-3</v>
      </c>
      <c r="K49" s="169">
        <f>D6</f>
        <v>7.8850728154038034E-3</v>
      </c>
      <c r="L49" s="170">
        <f>F6</f>
        <v>0.12808159999999999</v>
      </c>
      <c r="M49" s="5">
        <f>LOG10(J49)</f>
        <v>-2.1082928982732683</v>
      </c>
      <c r="N49" s="6">
        <f>LOG10(K49)</f>
        <v>-2.1031942917856736</v>
      </c>
    </row>
    <row r="50" spans="1:20" ht="15.75" thickBot="1">
      <c r="A50" s="141" t="s">
        <v>257</v>
      </c>
      <c r="B50" s="158">
        <f>SUM(B47:B49)</f>
        <v>190</v>
      </c>
      <c r="C50" s="126"/>
      <c r="D50" s="126"/>
      <c r="E50" s="126"/>
      <c r="F50" s="126"/>
      <c r="G50" s="127"/>
      <c r="I50" s="4">
        <f>B31</f>
        <v>75</v>
      </c>
      <c r="J50" s="171">
        <f>C26</f>
        <v>1.5648137812924787E-4</v>
      </c>
      <c r="K50" s="171">
        <f>D26</f>
        <v>1.5662031058434709E-4</v>
      </c>
      <c r="L50" s="170">
        <f>F26</f>
        <v>0.10562207999999999</v>
      </c>
      <c r="M50" s="5">
        <f t="shared" ref="M50:M51" si="0">LOG10(J50)</f>
        <v>-3.8055373377143717</v>
      </c>
      <c r="N50" s="6">
        <f t="shared" ref="N50:N51" si="1">LOG10(K50)</f>
        <v>-3.8051519191443548</v>
      </c>
    </row>
    <row r="51" spans="1:20" ht="15.75" thickTop="1">
      <c r="I51" s="4">
        <f>J41</f>
        <v>115</v>
      </c>
      <c r="J51" s="171">
        <f>K36</f>
        <v>5.904146544073533E-5</v>
      </c>
      <c r="K51" s="171">
        <f>L36</f>
        <v>5.8949005211572568E-5</v>
      </c>
      <c r="L51" s="170">
        <f>N36</f>
        <v>0.11344799999999999</v>
      </c>
      <c r="M51" s="5">
        <f t="shared" si="0"/>
        <v>-4.2288428716300261</v>
      </c>
      <c r="N51" s="6">
        <f t="shared" si="1"/>
        <v>-4.2295235194029894</v>
      </c>
    </row>
    <row r="52" spans="1:20">
      <c r="I52" s="4">
        <f>J11</f>
        <v>22</v>
      </c>
      <c r="J52" s="169">
        <f>K6</f>
        <v>3.9882955129871443E-3</v>
      </c>
      <c r="K52" s="169">
        <f>L6</f>
        <v>4.0085136261609252E-3</v>
      </c>
      <c r="L52" s="170">
        <f>N6</f>
        <v>0.46948679999999998</v>
      </c>
      <c r="M52" s="5">
        <f t="shared" ref="M52:M53" si="2">LOG10(J52)</f>
        <v>-2.3992126700933651</v>
      </c>
      <c r="N52" s="6">
        <f t="shared" ref="N52:N53" si="3">LOG10(K52)</f>
        <v>-2.3970166357646243</v>
      </c>
    </row>
    <row r="53" spans="1:20" ht="15.75" thickBot="1">
      <c r="I53" s="7">
        <f>B41</f>
        <v>115</v>
      </c>
      <c r="J53" s="172">
        <f>C36</f>
        <v>2.2746436379327361E-4</v>
      </c>
      <c r="K53" s="172">
        <f>D36</f>
        <v>2.2337948820456768E-4</v>
      </c>
      <c r="L53" s="173">
        <f>F36</f>
        <v>0.48021484270632253</v>
      </c>
      <c r="M53" s="8">
        <f t="shared" si="2"/>
        <v>-3.6430866333814289</v>
      </c>
      <c r="N53" s="9">
        <f t="shared" si="3"/>
        <v>-3.650956708429689</v>
      </c>
    </row>
    <row r="54" spans="1:20" ht="15.75" thickTop="1"/>
    <row r="58" spans="1:20">
      <c r="T58" t="s">
        <v>269</v>
      </c>
    </row>
    <row r="59" spans="1:20">
      <c r="T59" t="s">
        <v>270</v>
      </c>
    </row>
    <row r="61" spans="1:20">
      <c r="T61" t="s">
        <v>275</v>
      </c>
    </row>
    <row r="66" spans="1:15" ht="15.75" thickBot="1"/>
    <row r="67" spans="1:15" ht="15.75" thickTop="1">
      <c r="A67" s="143"/>
      <c r="B67" s="121"/>
      <c r="C67" s="121"/>
      <c r="D67" s="121"/>
      <c r="E67" s="129" t="s">
        <v>246</v>
      </c>
      <c r="F67" s="121"/>
      <c r="G67" s="144"/>
      <c r="H67" s="120"/>
      <c r="I67" s="143"/>
      <c r="J67" s="160"/>
      <c r="K67" s="160"/>
      <c r="L67" s="121"/>
      <c r="M67" s="129" t="s">
        <v>246</v>
      </c>
      <c r="N67" s="121"/>
      <c r="O67" s="122"/>
    </row>
    <row r="68" spans="1:15">
      <c r="A68" s="145"/>
      <c r="B68" s="123"/>
      <c r="C68" s="124" t="s">
        <v>258</v>
      </c>
      <c r="D68" s="124" t="s">
        <v>258</v>
      </c>
      <c r="E68" s="124" t="s">
        <v>258</v>
      </c>
      <c r="F68" s="124" t="s">
        <v>258</v>
      </c>
      <c r="G68" s="146"/>
      <c r="H68" s="120"/>
      <c r="I68" s="145"/>
      <c r="J68" s="133"/>
      <c r="K68" s="124" t="s">
        <v>258</v>
      </c>
      <c r="L68" s="124" t="s">
        <v>258</v>
      </c>
      <c r="M68" s="124" t="s">
        <v>258</v>
      </c>
      <c r="N68" s="124" t="s">
        <v>258</v>
      </c>
      <c r="O68" s="98"/>
    </row>
    <row r="69" spans="1:15">
      <c r="A69" s="130"/>
      <c r="B69" s="123"/>
      <c r="C69" s="159">
        <f>AVERAGE(C71:C75)</f>
        <v>7.1205573275741322E-7</v>
      </c>
      <c r="D69" s="159">
        <f>AVERAGE(D71:D75)</f>
        <v>5.8146771476012869E-7</v>
      </c>
      <c r="E69" s="148">
        <f>AVERAGE(E71:E75)</f>
        <v>7.0456306757873677E-3</v>
      </c>
      <c r="F69" s="164">
        <f>AVERAGE(F71:F75)</f>
        <v>0.12808159999999999</v>
      </c>
      <c r="G69" s="98"/>
      <c r="I69" s="130"/>
      <c r="J69" s="123"/>
      <c r="K69" s="159">
        <f>AVERAGE(K71:K75)</f>
        <v>1.2064169465647966E-5</v>
      </c>
      <c r="L69" s="159">
        <f>AVERAGE(L71:L75)</f>
        <v>7.0602481616600981E-6</v>
      </c>
      <c r="M69" s="148">
        <f>AVERAGE(M71:M75)</f>
        <v>1.0497911352939329E-2</v>
      </c>
      <c r="N69" s="149">
        <f>AVERAGE(N71:N75)</f>
        <v>0.46948679999999998</v>
      </c>
      <c r="O69" s="98"/>
    </row>
    <row r="70" spans="1:15" ht="45">
      <c r="A70" s="130" t="s">
        <v>168</v>
      </c>
      <c r="B70" s="123"/>
      <c r="C70" s="150" t="s">
        <v>259</v>
      </c>
      <c r="D70" s="150" t="s">
        <v>260</v>
      </c>
      <c r="E70" s="150" t="s">
        <v>171</v>
      </c>
      <c r="F70" s="151" t="s">
        <v>16</v>
      </c>
      <c r="G70" s="152" t="s">
        <v>208</v>
      </c>
      <c r="H70" s="30"/>
      <c r="I70" s="130" t="s">
        <v>168</v>
      </c>
      <c r="J70" s="123"/>
      <c r="K70" s="150" t="s">
        <v>259</v>
      </c>
      <c r="L70" s="150" t="s">
        <v>260</v>
      </c>
      <c r="M70" s="150" t="s">
        <v>171</v>
      </c>
      <c r="N70" s="151" t="s">
        <v>16</v>
      </c>
      <c r="O70" s="152" t="s">
        <v>208</v>
      </c>
    </row>
    <row r="71" spans="1:15">
      <c r="A71" s="130" t="s">
        <v>3</v>
      </c>
      <c r="B71" s="123">
        <v>6</v>
      </c>
      <c r="C71" s="123">
        <f>MatrixExamplesMathematica!B23</f>
        <v>4.2083391091209761E-7</v>
      </c>
      <c r="D71" s="123">
        <f>MatrixExamplesMathematica!D23</f>
        <v>1.4441853798395429E-7</v>
      </c>
      <c r="E71" s="153">
        <v>7.1995306113928747E-3</v>
      </c>
      <c r="F71" s="123">
        <v>0.13652600000000001</v>
      </c>
      <c r="G71" s="98" t="s">
        <v>174</v>
      </c>
      <c r="I71" s="130" t="s">
        <v>3</v>
      </c>
      <c r="J71" s="123">
        <v>6</v>
      </c>
      <c r="K71" s="123">
        <f>MatrixExamplesMathematica!B173</f>
        <v>9.1594442976170415E-6</v>
      </c>
      <c r="L71" s="123">
        <f>MatrixExamplesMathematica!D173</f>
        <v>1.2634490775016511E-6</v>
      </c>
      <c r="M71" s="125">
        <v>1.8384935827006697E-2</v>
      </c>
      <c r="N71" s="161">
        <v>0.475526</v>
      </c>
      <c r="O71" s="98" t="s">
        <v>183</v>
      </c>
    </row>
    <row r="72" spans="1:15">
      <c r="A72" s="130" t="s">
        <v>4</v>
      </c>
      <c r="B72" s="123">
        <v>12</v>
      </c>
      <c r="C72" s="123">
        <f>MatrixExamplesMathematica!B53</f>
        <v>1.9484049525164678E-6</v>
      </c>
      <c r="D72" s="123">
        <f>MatrixExamplesMathematica!D53</f>
        <v>6.2619637587838616E-9</v>
      </c>
      <c r="E72" s="153">
        <v>3.6979254952379021E-4</v>
      </c>
      <c r="F72" s="123">
        <v>0.120867</v>
      </c>
      <c r="G72" s="98" t="s">
        <v>173</v>
      </c>
      <c r="I72" s="130" t="s">
        <v>4</v>
      </c>
      <c r="J72" s="123">
        <v>12</v>
      </c>
      <c r="K72" s="123">
        <f>MatrixExamplesMathematica!B203</f>
        <v>2.9045849771890563E-7</v>
      </c>
      <c r="L72" s="123">
        <f>MatrixExamplesMathematica!D203</f>
        <v>4.9063047810230336E-6</v>
      </c>
      <c r="M72" s="125">
        <v>1.5928128457194126E-2</v>
      </c>
      <c r="N72" s="162">
        <v>0.41960199999999997</v>
      </c>
      <c r="O72" s="98" t="s">
        <v>184</v>
      </c>
    </row>
    <row r="73" spans="1:15">
      <c r="A73" s="130" t="s">
        <v>5</v>
      </c>
      <c r="B73" s="123">
        <v>4</v>
      </c>
      <c r="C73" s="123">
        <f>MatrixExamplesMathematica!B83</f>
        <v>4.9389347178704626E-7</v>
      </c>
      <c r="D73" s="123">
        <f>MatrixExamplesMathematica!D83</f>
        <v>3.7625085683902645E-7</v>
      </c>
      <c r="E73" s="153">
        <v>3.3928711098269249E-3</v>
      </c>
      <c r="F73" s="123">
        <v>0.10675999999999999</v>
      </c>
      <c r="G73" s="98" t="s">
        <v>177</v>
      </c>
      <c r="I73" s="130" t="s">
        <v>5</v>
      </c>
      <c r="J73" s="123">
        <v>4</v>
      </c>
      <c r="K73" s="123">
        <f>MatrixExamplesMathematica!B233</f>
        <v>2.0105813934994963E-5</v>
      </c>
      <c r="L73" s="123">
        <f>MatrixExamplesMathematica!D233</f>
        <v>1.3782680643180816E-5</v>
      </c>
      <c r="M73" s="125">
        <v>1.4608342734599936E-3</v>
      </c>
      <c r="N73" s="162">
        <v>0.44540299999999999</v>
      </c>
      <c r="O73" s="98" t="s">
        <v>185</v>
      </c>
    </row>
    <row r="74" spans="1:15">
      <c r="A74" s="140" t="s">
        <v>257</v>
      </c>
      <c r="B74" s="124">
        <f>SUM(B71:B73)</f>
        <v>22</v>
      </c>
      <c r="C74" s="123">
        <f>MatrixExamplesMathematica!B113</f>
        <v>2.5139019907520706E-7</v>
      </c>
      <c r="D74" s="123">
        <f>MatrixExamplesMathematica!D113</f>
        <v>3.5152349695365014E-7</v>
      </c>
      <c r="E74" s="153">
        <v>6.86882688606628E-3</v>
      </c>
      <c r="F74" s="123">
        <v>0.107261</v>
      </c>
      <c r="G74" s="98" t="s">
        <v>178</v>
      </c>
      <c r="I74" s="140" t="s">
        <v>257</v>
      </c>
      <c r="J74" s="124">
        <f>SUM(J71:J73)</f>
        <v>22</v>
      </c>
      <c r="K74" s="123">
        <f>MatrixExamplesMathematica!B263</f>
        <v>2.4878228161679008E-5</v>
      </c>
      <c r="L74" s="123">
        <f>MatrixExamplesMathematica!D263</f>
        <v>1.462002021397635E-5</v>
      </c>
      <c r="M74" s="125">
        <v>9.6493429820870402E-3</v>
      </c>
      <c r="N74" s="162">
        <v>0.49345699999999998</v>
      </c>
      <c r="O74" s="98" t="s">
        <v>186</v>
      </c>
    </row>
    <row r="75" spans="1:15" ht="15.75" thickBot="1">
      <c r="A75" s="131"/>
      <c r="B75" s="126"/>
      <c r="C75" s="126">
        <f>MatrixExamplesMathematica!B143</f>
        <v>4.4575612949624741E-7</v>
      </c>
      <c r="D75" s="126">
        <f>MatrixExamplesMathematica!D143</f>
        <v>2.0288837182652287E-6</v>
      </c>
      <c r="E75" s="154">
        <v>1.7397132222126965E-2</v>
      </c>
      <c r="F75" s="126">
        <v>0.16899400000000001</v>
      </c>
      <c r="G75" s="127" t="s">
        <v>179</v>
      </c>
      <c r="I75" s="131"/>
      <c r="J75" s="126"/>
      <c r="K75" s="126">
        <f>MatrixExamplesMathematica!B293</f>
        <v>5.8869024362299121E-6</v>
      </c>
      <c r="L75" s="126">
        <f>MatrixExamplesMathematica!D293</f>
        <v>7.2878609261864117E-7</v>
      </c>
      <c r="M75" s="155">
        <v>7.0663152249487915E-3</v>
      </c>
      <c r="N75" s="163">
        <v>0.51344599999999996</v>
      </c>
      <c r="O75" s="127" t="s">
        <v>187</v>
      </c>
    </row>
    <row r="76" spans="1:15" ht="16.5" thickTop="1" thickBot="1">
      <c r="E76" s="117"/>
      <c r="M76" s="114"/>
      <c r="N76" s="119"/>
    </row>
    <row r="77" spans="1:15" ht="15.75" thickTop="1">
      <c r="A77" s="128"/>
      <c r="B77" s="121"/>
      <c r="C77" s="121"/>
      <c r="D77" s="121"/>
      <c r="E77" s="129" t="s">
        <v>246</v>
      </c>
      <c r="F77" s="121"/>
      <c r="G77" s="122"/>
    </row>
    <row r="78" spans="1:15">
      <c r="A78" s="130"/>
      <c r="B78" s="123"/>
      <c r="C78" s="124" t="s">
        <v>258</v>
      </c>
      <c r="D78" s="124" t="s">
        <v>258</v>
      </c>
      <c r="E78" s="124" t="s">
        <v>258</v>
      </c>
      <c r="F78" s="124" t="s">
        <v>258</v>
      </c>
      <c r="G78" s="98"/>
      <c r="L78" s="123"/>
    </row>
    <row r="79" spans="1:15" ht="15.75" thickBot="1">
      <c r="A79" s="130"/>
      <c r="B79" s="123"/>
      <c r="C79" s="159">
        <f>AVERAGE(C81:C82)</f>
        <v>6.4005767740525414E-7</v>
      </c>
      <c r="D79" s="159">
        <f>AVERAGE(D81:D82)</f>
        <v>2.8835885898609253E-7</v>
      </c>
      <c r="E79" s="148">
        <f>AVERAGE(E81:E85)</f>
        <v>6.4210375887233662E-3</v>
      </c>
      <c r="F79" s="149">
        <f>AVERAGE(F81:F85)</f>
        <v>0.24325740000000001</v>
      </c>
      <c r="G79" s="98"/>
      <c r="I79" s="124" t="s">
        <v>246</v>
      </c>
    </row>
    <row r="80" spans="1:15" ht="60.75" thickTop="1">
      <c r="A80" s="130" t="s">
        <v>168</v>
      </c>
      <c r="B80" s="123"/>
      <c r="C80" s="150" t="s">
        <v>259</v>
      </c>
      <c r="D80" s="150" t="s">
        <v>260</v>
      </c>
      <c r="E80" s="150" t="s">
        <v>171</v>
      </c>
      <c r="F80" s="151" t="s">
        <v>16</v>
      </c>
      <c r="G80" s="152" t="s">
        <v>208</v>
      </c>
      <c r="H80" s="30"/>
      <c r="I80" s="166" t="s">
        <v>180</v>
      </c>
      <c r="J80" s="167" t="s">
        <v>259</v>
      </c>
      <c r="K80" s="167" t="s">
        <v>260</v>
      </c>
      <c r="L80" s="168" t="s">
        <v>16</v>
      </c>
      <c r="M80" s="167" t="s">
        <v>263</v>
      </c>
      <c r="N80" s="174" t="s">
        <v>264</v>
      </c>
    </row>
    <row r="81" spans="1:20">
      <c r="A81" s="130" t="s">
        <v>3</v>
      </c>
      <c r="B81" s="123">
        <v>12</v>
      </c>
      <c r="C81" s="123">
        <f>MatrixExamplesMathematica!T23</f>
        <v>5.9968462977777878E-7</v>
      </c>
      <c r="D81" s="123">
        <f>MatrixExamplesMathematica!V23</f>
        <v>1.5083034481277693E-7</v>
      </c>
      <c r="E81" s="125">
        <v>5.3463375131078059E-3</v>
      </c>
      <c r="F81" s="123">
        <v>0.23080200000000001</v>
      </c>
      <c r="G81" s="98" t="s">
        <v>198</v>
      </c>
      <c r="I81" s="175">
        <f>B74</f>
        <v>22</v>
      </c>
      <c r="J81" s="171">
        <f>C69</f>
        <v>7.1205573275741322E-7</v>
      </c>
      <c r="K81" s="171">
        <f>D69</f>
        <v>5.8146771476012869E-7</v>
      </c>
      <c r="L81" s="170">
        <f>F69</f>
        <v>0.12808159999999999</v>
      </c>
      <c r="M81" s="5">
        <f>LOG10(J81)</f>
        <v>-6.1474860127090167</v>
      </c>
      <c r="N81" s="6">
        <f>LOG10(K81)</f>
        <v>-6.2354743939033286</v>
      </c>
    </row>
    <row r="82" spans="1:20">
      <c r="A82" s="130" t="s">
        <v>4</v>
      </c>
      <c r="B82" s="123">
        <v>20</v>
      </c>
      <c r="C82" s="123">
        <f>MatrixExamplesMathematica!T53</f>
        <v>6.804307250327294E-7</v>
      </c>
      <c r="D82" s="123">
        <f>MatrixExamplesMathematica!V53</f>
        <v>4.2588737315940812E-7</v>
      </c>
      <c r="E82" s="125">
        <v>4.6052556687539124E-3</v>
      </c>
      <c r="F82" s="123">
        <v>0.26251200000000002</v>
      </c>
      <c r="G82" s="98" t="s">
        <v>199</v>
      </c>
      <c r="I82" s="175">
        <f>B94</f>
        <v>75</v>
      </c>
      <c r="J82" s="171">
        <f>C89</f>
        <v>3.4619323713457493E-8</v>
      </c>
      <c r="K82" s="171">
        <f>D89</f>
        <v>4.1657914457867651E-9</v>
      </c>
      <c r="L82" s="170">
        <f>F89</f>
        <v>0.10562207999999999</v>
      </c>
      <c r="M82" s="5">
        <f t="shared" ref="M82:M85" si="4">LOG10(J82)</f>
        <v>-7.4606814202960487</v>
      </c>
      <c r="N82" s="6">
        <f t="shared" ref="N82:N85" si="5">LOG10(K82)</f>
        <v>-8.3803024761576381</v>
      </c>
    </row>
    <row r="83" spans="1:20">
      <c r="A83" s="130" t="s">
        <v>5</v>
      </c>
      <c r="B83" s="123">
        <v>8</v>
      </c>
      <c r="C83" s="123">
        <f>MatrixExamplesMathematica!T83</f>
        <v>6.7453904798957159E-7</v>
      </c>
      <c r="D83" s="123">
        <f>MatrixExamplesMathematica!V83</f>
        <v>1.3068922218479845E-8</v>
      </c>
      <c r="E83" s="125">
        <v>5.8274327501008161E-3</v>
      </c>
      <c r="F83" s="123">
        <v>0.22032299999999999</v>
      </c>
      <c r="G83" s="98" t="s">
        <v>200</v>
      </c>
      <c r="I83" s="175">
        <f>J104</f>
        <v>115</v>
      </c>
      <c r="J83" s="171">
        <f>K99</f>
        <v>6.9404205398907582E-9</v>
      </c>
      <c r="K83" s="171">
        <f>L99</f>
        <v>5.8486422143174054E-9</v>
      </c>
      <c r="L83" s="170">
        <f>N99</f>
        <v>0.11344799999999999</v>
      </c>
      <c r="M83" s="5">
        <f t="shared" si="4"/>
        <v>-8.1586142136055795</v>
      </c>
      <c r="N83" s="6">
        <f t="shared" si="5"/>
        <v>-8.2329449454173762</v>
      </c>
    </row>
    <row r="84" spans="1:20">
      <c r="A84" s="140" t="s">
        <v>257</v>
      </c>
      <c r="B84" s="124">
        <f>SUM(B81:B83)</f>
        <v>40</v>
      </c>
      <c r="C84" s="123">
        <f>MatrixExamplesMathematica!T113</f>
        <v>2.8104822278791264E-7</v>
      </c>
      <c r="D84" s="123">
        <f>MatrixExamplesMathematica!V113</f>
        <v>5.1690946197405871E-8</v>
      </c>
      <c r="E84" s="125">
        <v>1.2211832247160003E-2</v>
      </c>
      <c r="F84" s="123">
        <v>0.231132</v>
      </c>
      <c r="G84" s="98" t="s">
        <v>201</v>
      </c>
      <c r="I84" s="175">
        <f>J74</f>
        <v>22</v>
      </c>
      <c r="J84" s="171">
        <f>K69</f>
        <v>1.2064169465647966E-5</v>
      </c>
      <c r="K84" s="171">
        <f>L69</f>
        <v>7.0602481616600981E-6</v>
      </c>
      <c r="L84" s="170">
        <f>N69</f>
        <v>0.46948679999999998</v>
      </c>
      <c r="M84" s="5">
        <f t="shared" si="4"/>
        <v>-4.918502570887525</v>
      </c>
      <c r="N84" s="6">
        <f t="shared" si="5"/>
        <v>-5.1511800336018121</v>
      </c>
    </row>
    <row r="85" spans="1:20" ht="15.75" thickBot="1">
      <c r="A85" s="131"/>
      <c r="B85" s="126"/>
      <c r="C85" s="126">
        <f>MatrixExamplesMathematica!T143</f>
        <v>3.0690230391731748E-7</v>
      </c>
      <c r="D85" s="126">
        <f>MatrixExamplesMathematica!V143</f>
        <v>8.3852332115714144E-7</v>
      </c>
      <c r="E85" s="155">
        <v>4.1143297644942968E-3</v>
      </c>
      <c r="F85" s="126">
        <v>0.27151799999999998</v>
      </c>
      <c r="G85" s="127" t="s">
        <v>202</v>
      </c>
      <c r="I85" s="176">
        <f>B104</f>
        <v>115</v>
      </c>
      <c r="J85" s="172">
        <f>C99</f>
        <v>1.6965773317346219E-8</v>
      </c>
      <c r="K85" s="172">
        <f>D99</f>
        <v>8.8822942193433333E-9</v>
      </c>
      <c r="L85" s="173">
        <f>F99</f>
        <v>0.48021484270632253</v>
      </c>
      <c r="M85" s="8">
        <f t="shared" si="4"/>
        <v>-7.7704263399798439</v>
      </c>
      <c r="N85" s="9">
        <f t="shared" si="5"/>
        <v>-8.0514748452446465</v>
      </c>
    </row>
    <row r="86" spans="1:20" ht="16.5" thickTop="1" thickBot="1">
      <c r="A86" s="123"/>
      <c r="B86" s="123"/>
      <c r="C86" s="123"/>
      <c r="D86" s="123"/>
      <c r="E86" s="125"/>
      <c r="F86" s="123"/>
      <c r="G86" s="123"/>
      <c r="L86" s="121"/>
    </row>
    <row r="87" spans="1:20" ht="16.5" thickTop="1" thickBot="1">
      <c r="A87" s="128"/>
      <c r="B87" s="121"/>
      <c r="C87" s="121"/>
      <c r="D87" s="121"/>
      <c r="E87" s="129" t="s">
        <v>246</v>
      </c>
      <c r="F87" s="121"/>
      <c r="G87" s="122"/>
      <c r="I87" s="124" t="s">
        <v>247</v>
      </c>
      <c r="T87" t="s">
        <v>265</v>
      </c>
    </row>
    <row r="88" spans="1:20" ht="60.75" thickTop="1">
      <c r="A88" s="130"/>
      <c r="B88" s="123"/>
      <c r="C88" s="124" t="s">
        <v>258</v>
      </c>
      <c r="D88" s="124" t="s">
        <v>258</v>
      </c>
      <c r="E88" s="124" t="s">
        <v>258</v>
      </c>
      <c r="F88" s="124" t="s">
        <v>258</v>
      </c>
      <c r="G88" s="98"/>
      <c r="I88" s="166" t="s">
        <v>180</v>
      </c>
      <c r="J88" s="167" t="s">
        <v>259</v>
      </c>
      <c r="K88" s="167" t="s">
        <v>260</v>
      </c>
      <c r="L88" s="168" t="s">
        <v>16</v>
      </c>
      <c r="M88" s="167" t="s">
        <v>263</v>
      </c>
      <c r="N88" s="174" t="s">
        <v>264</v>
      </c>
      <c r="T88" t="s">
        <v>267</v>
      </c>
    </row>
    <row r="89" spans="1:20">
      <c r="A89" s="130"/>
      <c r="B89" s="123"/>
      <c r="C89" s="159">
        <f>AVERAGE(C91:C92)</f>
        <v>3.4619323713457493E-8</v>
      </c>
      <c r="D89" s="159">
        <f>AVERAGE(D91:D92)</f>
        <v>4.1657914457867651E-9</v>
      </c>
      <c r="E89" s="148">
        <f>AVERAGE(E91:E95)</f>
        <v>6.7100999474504694E-4</v>
      </c>
      <c r="F89" s="164">
        <f>AVERAGE(F91:F95)</f>
        <v>0.10562207999999999</v>
      </c>
      <c r="G89" s="98"/>
      <c r="I89" s="175">
        <f>B127</f>
        <v>22</v>
      </c>
      <c r="J89" s="171">
        <f>C126</f>
        <v>1.2218413440807176E-5</v>
      </c>
      <c r="K89" s="171">
        <f>D126</f>
        <v>1.7336911305245161E-6</v>
      </c>
      <c r="L89" s="170">
        <f>F126</f>
        <v>0.139101</v>
      </c>
      <c r="M89" s="5">
        <f>LOG10(J89)</f>
        <v>-4.9129851835072289</v>
      </c>
      <c r="N89" s="6">
        <f>LOG10(K89)</f>
        <v>-5.761028272636711</v>
      </c>
      <c r="T89" t="s">
        <v>266</v>
      </c>
    </row>
    <row r="90" spans="1:20">
      <c r="A90" s="130" t="s">
        <v>168</v>
      </c>
      <c r="B90" s="123"/>
      <c r="C90" s="150" t="s">
        <v>259</v>
      </c>
      <c r="D90" s="150" t="s">
        <v>260</v>
      </c>
      <c r="E90" s="150" t="s">
        <v>171</v>
      </c>
      <c r="F90" s="151" t="s">
        <v>16</v>
      </c>
      <c r="G90" s="152" t="s">
        <v>208</v>
      </c>
      <c r="H90" s="30"/>
      <c r="I90" s="175">
        <f>L137</f>
        <v>115</v>
      </c>
      <c r="J90" s="171">
        <f>M134</f>
        <v>9.8463682777271306E-9</v>
      </c>
      <c r="K90" s="171">
        <f>N134</f>
        <v>2.5360423379526932E-9</v>
      </c>
      <c r="L90" s="170">
        <f>P134</f>
        <v>0.112238</v>
      </c>
      <c r="M90" s="5">
        <f>LOG10(J90)</f>
        <v>-8.0067239246069786</v>
      </c>
      <c r="N90" s="6">
        <f>LOG10(K90)</f>
        <v>-8.5958435004016032</v>
      </c>
      <c r="T90" t="s">
        <v>268</v>
      </c>
    </row>
    <row r="91" spans="1:20">
      <c r="A91" s="130" t="s">
        <v>3</v>
      </c>
      <c r="B91" s="123">
        <v>20</v>
      </c>
      <c r="C91" s="123">
        <f>MatrixExamplesMathematica!AK23</f>
        <v>5.7609331223462227E-8</v>
      </c>
      <c r="D91" s="123">
        <f>MatrixExamplesMathematica!AM23</f>
        <v>6.4617369819649066E-9</v>
      </c>
      <c r="E91" s="125">
        <v>4.8823940478887366E-4</v>
      </c>
      <c r="F91" s="123">
        <v>0.10761999999999999</v>
      </c>
      <c r="G91" s="98" t="s">
        <v>203</v>
      </c>
      <c r="I91" s="175"/>
      <c r="J91" s="171"/>
      <c r="K91" s="171"/>
      <c r="L91" s="170"/>
      <c r="M91" s="5"/>
      <c r="N91" s="6"/>
    </row>
    <row r="92" spans="1:20">
      <c r="A92" s="130" t="s">
        <v>4</v>
      </c>
      <c r="B92" s="123">
        <v>40</v>
      </c>
      <c r="C92" s="123">
        <f>MatrixExamplesMathematica!AK53</f>
        <v>1.1629316203452764E-8</v>
      </c>
      <c r="D92" s="123">
        <f>MatrixExamplesMathematica!AM53</f>
        <v>1.8698459096086227E-9</v>
      </c>
      <c r="E92" s="125">
        <v>1.229877516312817E-3</v>
      </c>
      <c r="F92" s="123">
        <v>0.10509</v>
      </c>
      <c r="G92" s="98" t="s">
        <v>204</v>
      </c>
      <c r="I92" s="175"/>
      <c r="J92" s="171"/>
      <c r="K92" s="171"/>
      <c r="L92" s="170"/>
      <c r="M92" s="5"/>
      <c r="N92" s="6"/>
      <c r="T92" t="s">
        <v>273</v>
      </c>
    </row>
    <row r="93" spans="1:20" ht="15.75" thickBot="1">
      <c r="A93" s="130" t="s">
        <v>5</v>
      </c>
      <c r="B93" s="123">
        <v>15</v>
      </c>
      <c r="C93" s="123">
        <f>MatrixExamplesMathematica!AK83</f>
        <v>6.1964556923793978E-9</v>
      </c>
      <c r="D93" s="123">
        <f>MatrixExamplesMathematica!AM83</f>
        <v>3.3445135122745516E-8</v>
      </c>
      <c r="E93" s="125">
        <v>9.9594566813343273E-4</v>
      </c>
      <c r="F93" s="123">
        <v>0.10700900000000001</v>
      </c>
      <c r="G93" s="98" t="s">
        <v>205</v>
      </c>
      <c r="I93" s="176"/>
      <c r="J93" s="172"/>
      <c r="K93" s="172"/>
      <c r="L93" s="173"/>
      <c r="M93" s="8"/>
      <c r="N93" s="9"/>
      <c r="T93" t="s">
        <v>274</v>
      </c>
    </row>
    <row r="94" spans="1:20" ht="15.75" thickTop="1">
      <c r="A94" s="140" t="s">
        <v>257</v>
      </c>
      <c r="B94" s="124">
        <f>SUM(B91:B93)</f>
        <v>75</v>
      </c>
      <c r="C94" s="123">
        <f>MatrixExamplesMathematica!AK113</f>
        <v>6.9886998482795547E-8</v>
      </c>
      <c r="D94" s="123">
        <f>MatrixExamplesMathematica!AM113</f>
        <v>3.181339527417279E-9</v>
      </c>
      <c r="E94" s="125">
        <v>5.7890233340900554E-4</v>
      </c>
      <c r="F94" s="123">
        <v>0.11360000000000001</v>
      </c>
      <c r="G94" s="98" t="s">
        <v>206</v>
      </c>
    </row>
    <row r="95" spans="1:20" ht="15.75" thickBot="1">
      <c r="A95" s="131"/>
      <c r="B95" s="126"/>
      <c r="C95" s="126">
        <f>MatrixExamplesMathematica!AK143</f>
        <v>4.3351958639726075E-9</v>
      </c>
      <c r="D95" s="126">
        <f>MatrixExamplesMathematica!AM143</f>
        <v>9.1364584360484968E-9</v>
      </c>
      <c r="E95" s="155">
        <v>6.2085051081106466E-5</v>
      </c>
      <c r="F95" s="126">
        <v>9.4791399999999998E-2</v>
      </c>
      <c r="G95" s="127" t="s">
        <v>207</v>
      </c>
      <c r="T95" t="s">
        <v>278</v>
      </c>
    </row>
    <row r="96" spans="1:20" ht="16.5" thickTop="1" thickBot="1">
      <c r="E96" s="114"/>
      <c r="T96" t="s">
        <v>279</v>
      </c>
    </row>
    <row r="97" spans="1:20" ht="15.75" thickTop="1">
      <c r="A97" s="128"/>
      <c r="B97" s="121"/>
      <c r="C97" s="121"/>
      <c r="D97" s="121"/>
      <c r="E97" s="129" t="s">
        <v>246</v>
      </c>
      <c r="F97" s="121"/>
      <c r="G97" s="122"/>
      <c r="I97" s="128"/>
      <c r="J97" s="121"/>
      <c r="K97" s="121"/>
      <c r="L97" s="121"/>
      <c r="M97" s="129" t="s">
        <v>246</v>
      </c>
      <c r="N97" s="121"/>
      <c r="O97" s="122"/>
      <c r="T97" t="s">
        <v>280</v>
      </c>
    </row>
    <row r="98" spans="1:20">
      <c r="A98" s="130"/>
      <c r="B98" s="123"/>
      <c r="C98" s="123"/>
      <c r="D98" s="123"/>
      <c r="E98" s="123"/>
      <c r="F98" s="123"/>
      <c r="G98" s="98"/>
      <c r="I98" s="130"/>
      <c r="J98" s="123"/>
      <c r="K98" s="124" t="s">
        <v>258</v>
      </c>
      <c r="L98" s="124" t="s">
        <v>258</v>
      </c>
      <c r="M98" s="124" t="s">
        <v>258</v>
      </c>
      <c r="N98" s="124" t="s">
        <v>258</v>
      </c>
      <c r="O98" s="98"/>
      <c r="T98" t="s">
        <v>281</v>
      </c>
    </row>
    <row r="99" spans="1:20">
      <c r="A99" s="130"/>
      <c r="B99" s="123"/>
      <c r="C99" s="159">
        <f>AVERAGE(C101:C102)</f>
        <v>1.6965773317346219E-8</v>
      </c>
      <c r="D99" s="159">
        <f>AVERAGE(D101:D102)</f>
        <v>8.8822942193433333E-9</v>
      </c>
      <c r="E99" s="148">
        <f>AVERAGE(E101:E105)</f>
        <v>1.7115783416101521E-3</v>
      </c>
      <c r="F99" s="149">
        <f>AVERAGE(F101:F105)</f>
        <v>0.48021484270632253</v>
      </c>
      <c r="G99" s="98"/>
      <c r="I99" s="130"/>
      <c r="J99" s="123"/>
      <c r="K99" s="159">
        <f>AVERAGE(K101:K105)</f>
        <v>6.9404205398907582E-9</v>
      </c>
      <c r="L99" s="159">
        <f>AVERAGE(L101:L105)</f>
        <v>5.8486422143174054E-9</v>
      </c>
      <c r="M99" s="148">
        <f>AVERAGE(M101:M105)</f>
        <v>5.1763559708040846E-4</v>
      </c>
      <c r="N99" s="164">
        <f>AVERAGE(N101:N105)</f>
        <v>0.11344799999999999</v>
      </c>
      <c r="O99" s="98"/>
    </row>
    <row r="100" spans="1:20" ht="45">
      <c r="A100" s="130" t="s">
        <v>168</v>
      </c>
      <c r="B100" s="123"/>
      <c r="C100" s="150" t="s">
        <v>259</v>
      </c>
      <c r="D100" s="150" t="s">
        <v>260</v>
      </c>
      <c r="E100" s="150" t="s">
        <v>171</v>
      </c>
      <c r="F100" s="151" t="s">
        <v>16</v>
      </c>
      <c r="G100" s="152" t="s">
        <v>208</v>
      </c>
      <c r="H100" s="30"/>
      <c r="I100" s="130" t="s">
        <v>168</v>
      </c>
      <c r="J100" s="123"/>
      <c r="K100" s="150" t="s">
        <v>259</v>
      </c>
      <c r="L100" s="150" t="s">
        <v>260</v>
      </c>
      <c r="M100" s="150" t="s">
        <v>171</v>
      </c>
      <c r="N100" s="151" t="s">
        <v>16</v>
      </c>
      <c r="O100" s="152" t="s">
        <v>208</v>
      </c>
    </row>
    <row r="101" spans="1:20">
      <c r="A101" s="130" t="s">
        <v>3</v>
      </c>
      <c r="B101" s="123">
        <v>30</v>
      </c>
      <c r="C101" s="123">
        <f>MatrixExamplesMathematica!BH23</f>
        <v>2.8513201683908166E-8</v>
      </c>
      <c r="D101" s="123">
        <f>MatrixExamplesMathematica!BJ23</f>
        <v>3.6201061239870212E-9</v>
      </c>
      <c r="E101" s="156">
        <v>1.2928467894564092E-6</v>
      </c>
      <c r="F101" s="123">
        <v>0.48769621353161285</v>
      </c>
      <c r="G101" s="98" t="s">
        <v>188</v>
      </c>
      <c r="I101" s="130" t="s">
        <v>3</v>
      </c>
      <c r="J101" s="123">
        <v>30</v>
      </c>
      <c r="K101" s="123">
        <f>MatrixExamplesMathematica!BH173</f>
        <v>7.3936106433959346E-9</v>
      </c>
      <c r="L101" s="123">
        <f>MatrixExamplesMathematica!BJ173</f>
        <v>2.457755893888778E-9</v>
      </c>
      <c r="M101" s="132">
        <v>2.8768451853929301E-4</v>
      </c>
      <c r="N101" s="123">
        <v>0.110121</v>
      </c>
      <c r="O101" s="98" t="s">
        <v>193</v>
      </c>
    </row>
    <row r="102" spans="1:20">
      <c r="A102" s="130" t="s">
        <v>4</v>
      </c>
      <c r="B102" s="123">
        <v>60</v>
      </c>
      <c r="C102" s="123">
        <f>MatrixExamplesMathematica!BH83</f>
        <v>5.4183449507842748E-9</v>
      </c>
      <c r="D102" s="123">
        <f>MatrixExamplesMathematica!BJ83</f>
        <v>1.4144482314699645E-8</v>
      </c>
      <c r="E102" s="156">
        <v>2.5929655860993579E-3</v>
      </c>
      <c r="F102" s="123">
        <v>0.48247499999999999</v>
      </c>
      <c r="G102" s="98" t="s">
        <v>189</v>
      </c>
      <c r="I102" s="130" t="s">
        <v>4</v>
      </c>
      <c r="J102" s="123">
        <v>60</v>
      </c>
      <c r="K102" s="123">
        <f>MatrixExamplesMathematica!BH203</f>
        <v>1.6426753145405107E-10</v>
      </c>
      <c r="L102" s="123">
        <f>MatrixExamplesMathematica!BJ203</f>
        <v>1.6172942337294796E-8</v>
      </c>
      <c r="M102" s="132">
        <v>9.1035487288154121E-5</v>
      </c>
      <c r="N102" s="123">
        <v>0.12712899999999999</v>
      </c>
      <c r="O102" s="98" t="s">
        <v>194</v>
      </c>
    </row>
    <row r="103" spans="1:20">
      <c r="A103" s="130" t="s">
        <v>5</v>
      </c>
      <c r="B103" s="123">
        <v>25</v>
      </c>
      <c r="C103" s="123">
        <f>MatrixExamplesMathematica!BH113</f>
        <v>2.6238284730507347E-8</v>
      </c>
      <c r="D103" s="123">
        <f>MatrixExamplesMathematica!BJ113</f>
        <v>4.8281287161142965E-8</v>
      </c>
      <c r="E103" s="156">
        <v>1.8358483577175372E-3</v>
      </c>
      <c r="F103" s="123">
        <v>0.47154000000000001</v>
      </c>
      <c r="G103" s="98" t="s">
        <v>190</v>
      </c>
      <c r="I103" s="130" t="s">
        <v>5</v>
      </c>
      <c r="J103" s="123">
        <v>25</v>
      </c>
      <c r="K103" s="123">
        <f>MatrixExamplesMathematica!BH233</f>
        <v>6.937380670892856E-9</v>
      </c>
      <c r="L103" s="123">
        <f>MatrixExamplesMathematica!BJ233</f>
        <v>2.7168620702035741E-9</v>
      </c>
      <c r="M103" s="132">
        <v>1.32660343227614E-3</v>
      </c>
      <c r="N103" s="123">
        <v>0.11326799999999999</v>
      </c>
      <c r="O103" s="98" t="s">
        <v>195</v>
      </c>
    </row>
    <row r="104" spans="1:20">
      <c r="A104" s="140" t="s">
        <v>257</v>
      </c>
      <c r="B104" s="124">
        <f>SUM(B101:B103)</f>
        <v>115</v>
      </c>
      <c r="C104" s="123">
        <f>MatrixExamplesMathematica!BH143</f>
        <v>1.5126867128924527E-8</v>
      </c>
      <c r="D104" s="123">
        <f>MatrixExamplesMathematica!BJ143</f>
        <v>6.5610097287235673E-8</v>
      </c>
      <c r="E104" s="156">
        <v>1.2914108871899606E-3</v>
      </c>
      <c r="F104" s="123">
        <v>0.47693999999999998</v>
      </c>
      <c r="G104" s="98" t="s">
        <v>191</v>
      </c>
      <c r="I104" s="140" t="s">
        <v>257</v>
      </c>
      <c r="J104" s="124">
        <f>SUM(J101:J103)</f>
        <v>115</v>
      </c>
      <c r="K104" s="123">
        <f>MatrixExamplesMathematica!BH264</f>
        <v>4.8247893290048649E-9</v>
      </c>
      <c r="L104" s="123">
        <f>MatrixExamplesMathematica!BJ264</f>
        <v>6.4065168130627028E-9</v>
      </c>
      <c r="M104" s="132">
        <v>4.8126619810646293E-4</v>
      </c>
      <c r="N104" s="123">
        <v>0.11444799999999999</v>
      </c>
      <c r="O104" s="98" t="s">
        <v>196</v>
      </c>
    </row>
    <row r="105" spans="1:20" ht="15.75" thickBot="1">
      <c r="A105" s="131"/>
      <c r="B105" s="126"/>
      <c r="C105" s="126">
        <f>MatrixExamplesMathematica!BH53</f>
        <v>5.0028866922346155E-8</v>
      </c>
      <c r="D105" s="126">
        <f>MatrixExamplesMathematica!BJ53</f>
        <v>1.3506498510491612E-8</v>
      </c>
      <c r="E105" s="157">
        <v>2.8363740302544496E-3</v>
      </c>
      <c r="F105" s="126">
        <v>0.48242299999999999</v>
      </c>
      <c r="G105" s="127" t="s">
        <v>192</v>
      </c>
      <c r="I105" s="131"/>
      <c r="J105" s="126"/>
      <c r="K105" s="126">
        <f>MatrixExamplesMathematica!BH294</f>
        <v>1.5382054524706086E-8</v>
      </c>
      <c r="L105" s="126">
        <f>MatrixExamplesMathematica!BJ294</f>
        <v>1.4891339571371805E-9</v>
      </c>
      <c r="M105" s="157">
        <v>4.0158834919199236E-4</v>
      </c>
      <c r="N105" s="126">
        <v>0.102274</v>
      </c>
      <c r="O105" s="127" t="s">
        <v>197</v>
      </c>
    </row>
    <row r="106" spans="1:20" ht="16.5" thickTop="1" thickBot="1">
      <c r="E106" s="115"/>
      <c r="L106" s="121"/>
    </row>
    <row r="107" spans="1:20" ht="16.5" thickTop="1" thickBot="1">
      <c r="A107" s="128"/>
      <c r="B107" s="121"/>
      <c r="C107" s="121"/>
      <c r="D107" s="121"/>
      <c r="E107" s="129" t="s">
        <v>246</v>
      </c>
      <c r="F107" s="121"/>
      <c r="G107" s="122"/>
      <c r="I107" s="124" t="s">
        <v>247</v>
      </c>
    </row>
    <row r="108" spans="1:20" ht="105.75" thickTop="1">
      <c r="A108" s="130"/>
      <c r="B108" s="123"/>
      <c r="C108" s="159">
        <f>AVERAGE(C110:C111)</f>
        <v>8.5533505047740198E-9</v>
      </c>
      <c r="D108" s="159">
        <f>AVERAGE(D110:D111)</f>
        <v>1.1487452743732995E-8</v>
      </c>
      <c r="E108" s="148">
        <f>AVERAGE(E110:E114)</f>
        <v>1.6451379682889647E-3</v>
      </c>
      <c r="F108" s="149">
        <f>AVERAGE(F110:F114)</f>
        <v>0.91100171603448965</v>
      </c>
      <c r="G108" s="98"/>
      <c r="I108" s="166" t="s">
        <v>180</v>
      </c>
      <c r="J108" s="167" t="s">
        <v>255</v>
      </c>
      <c r="K108" s="167" t="s">
        <v>256</v>
      </c>
      <c r="L108" s="168" t="s">
        <v>16</v>
      </c>
      <c r="M108" s="167" t="s">
        <v>261</v>
      </c>
      <c r="N108" s="167" t="s">
        <v>262</v>
      </c>
    </row>
    <row r="109" spans="1:20">
      <c r="A109" s="130" t="s">
        <v>168</v>
      </c>
      <c r="B109" s="123"/>
      <c r="C109" s="150" t="s">
        <v>259</v>
      </c>
      <c r="D109" s="150" t="s">
        <v>260</v>
      </c>
      <c r="E109" s="150" t="s">
        <v>171</v>
      </c>
      <c r="F109" s="151" t="s">
        <v>16</v>
      </c>
      <c r="G109" s="152" t="s">
        <v>208</v>
      </c>
      <c r="H109" s="30"/>
      <c r="I109" s="175">
        <f>I89</f>
        <v>22</v>
      </c>
      <c r="J109" s="171">
        <f>C136</f>
        <v>5.3477053836632482E-3</v>
      </c>
      <c r="K109" s="171">
        <f>D136</f>
        <v>5.0315621352767792E-3</v>
      </c>
      <c r="L109" s="170">
        <f>L89</f>
        <v>0.139101</v>
      </c>
      <c r="M109" s="5">
        <f>LOG10(J109)</f>
        <v>-2.2718325269474109</v>
      </c>
      <c r="N109" s="6">
        <f>LOG10(K109)</f>
        <v>-2.2982971597939437</v>
      </c>
    </row>
    <row r="110" spans="1:20">
      <c r="A110" s="130" t="s">
        <v>3</v>
      </c>
      <c r="B110" s="123">
        <v>50</v>
      </c>
      <c r="C110" s="123">
        <f>MatrixExamplesMathematica!CD23</f>
        <v>7.362484536085735E-9</v>
      </c>
      <c r="D110" s="123">
        <f>MatrixExamplesMathematica!CF23</f>
        <v>1.6008314151266295E-8</v>
      </c>
      <c r="E110" s="132">
        <v>1.8110546111566154E-3</v>
      </c>
      <c r="F110" s="123">
        <v>0.91309043206897933</v>
      </c>
      <c r="G110" s="98" t="s">
        <v>175</v>
      </c>
      <c r="I110" s="175">
        <f>I90</f>
        <v>115</v>
      </c>
      <c r="J110" s="171">
        <f>M144</f>
        <v>1.1363289607921878E-3</v>
      </c>
      <c r="K110" s="171">
        <f>N144</f>
        <v>1.1398847272410251E-3</v>
      </c>
      <c r="L110" s="170">
        <f>L90</f>
        <v>0.112238</v>
      </c>
      <c r="M110" s="5">
        <f>LOG10(J110)</f>
        <v>-2.9444959246325828</v>
      </c>
      <c r="N110" s="6">
        <f>LOG10(K110)</f>
        <v>-2.9431390652024478</v>
      </c>
    </row>
    <row r="111" spans="1:20">
      <c r="A111" s="130" t="s">
        <v>4</v>
      </c>
      <c r="B111" s="123">
        <v>100</v>
      </c>
      <c r="C111" s="123">
        <f>MatrixExamplesMathematica!CD53</f>
        <v>9.7442164734623045E-9</v>
      </c>
      <c r="D111" s="123">
        <f>MatrixExamplesMathematica!CF53</f>
        <v>6.9665913361996976E-9</v>
      </c>
      <c r="E111" s="132">
        <v>1.4792213254213142E-3</v>
      </c>
      <c r="F111" s="123">
        <v>0.90891299999999997</v>
      </c>
      <c r="G111" s="98" t="s">
        <v>176</v>
      </c>
      <c r="I111" s="175"/>
      <c r="J111" s="171"/>
      <c r="K111" s="171"/>
      <c r="L111" s="170"/>
      <c r="M111" s="5"/>
      <c r="N111" s="6"/>
    </row>
    <row r="112" spans="1:20">
      <c r="A112" s="130" t="s">
        <v>5</v>
      </c>
      <c r="B112" s="123">
        <v>40</v>
      </c>
      <c r="C112" s="123"/>
      <c r="D112" s="123"/>
      <c r="E112" s="123"/>
      <c r="F112" s="123"/>
      <c r="G112" s="98"/>
      <c r="I112" s="175"/>
      <c r="J112" s="171"/>
      <c r="K112" s="171"/>
      <c r="L112" s="170"/>
      <c r="M112" s="5"/>
      <c r="N112" s="6"/>
    </row>
    <row r="113" spans="1:24" ht="15.75" thickBot="1">
      <c r="A113" s="141" t="s">
        <v>257</v>
      </c>
      <c r="B113" s="158">
        <f>SUM(B110:B112)</f>
        <v>190</v>
      </c>
      <c r="C113" s="126"/>
      <c r="D113" s="126"/>
      <c r="E113" s="126"/>
      <c r="F113" s="126"/>
      <c r="G113" s="127"/>
      <c r="I113" s="176"/>
      <c r="J113" s="172"/>
      <c r="K113" s="172"/>
      <c r="L113" s="173"/>
      <c r="M113" s="8"/>
      <c r="N113" s="9"/>
    </row>
    <row r="114" spans="1:24" ht="15.75" thickTop="1">
      <c r="M114" s="165"/>
      <c r="N114" s="165"/>
      <c r="O114" s="118"/>
    </row>
    <row r="115" spans="1:24">
      <c r="M115" s="142"/>
      <c r="N115" s="142"/>
      <c r="O115" s="118"/>
    </row>
    <row r="116" spans="1:24" ht="15.75" thickBot="1">
      <c r="I116" s="124" t="s">
        <v>248</v>
      </c>
      <c r="P116" s="124" t="s">
        <v>248</v>
      </c>
    </row>
    <row r="117" spans="1:24" ht="105.75" thickTop="1">
      <c r="I117" s="166" t="s">
        <v>180</v>
      </c>
      <c r="J117" s="167" t="s">
        <v>255</v>
      </c>
      <c r="K117" s="167" t="s">
        <v>256</v>
      </c>
      <c r="L117" s="168" t="s">
        <v>16</v>
      </c>
      <c r="M117" s="167" t="s">
        <v>261</v>
      </c>
      <c r="N117" s="167" t="s">
        <v>262</v>
      </c>
      <c r="P117" s="166" t="s">
        <v>180</v>
      </c>
      <c r="Q117" s="167" t="s">
        <v>259</v>
      </c>
      <c r="R117" s="167" t="s">
        <v>260</v>
      </c>
      <c r="S117" s="168" t="s">
        <v>16</v>
      </c>
      <c r="T117" s="167" t="s">
        <v>263</v>
      </c>
      <c r="U117" s="174" t="s">
        <v>264</v>
      </c>
    </row>
    <row r="118" spans="1:24">
      <c r="I118" s="175">
        <f>B147</f>
        <v>22</v>
      </c>
      <c r="J118" s="36">
        <f>C154</f>
        <v>0.45021283206367402</v>
      </c>
      <c r="K118" s="36">
        <f>D154</f>
        <v>0.392791570365016</v>
      </c>
      <c r="L118" s="135">
        <f>F144</f>
        <v>0.28422599999999998</v>
      </c>
      <c r="M118" s="5">
        <f t="shared" ref="M118:N120" si="6">LOG10(J118)</f>
        <v>-0.346582130803681</v>
      </c>
      <c r="N118" s="5">
        <f t="shared" si="6"/>
        <v>-0.40583784110718873</v>
      </c>
      <c r="P118" s="175">
        <f>I118</f>
        <v>22</v>
      </c>
      <c r="Q118" s="171">
        <f>C144</f>
        <v>6.7108405892825674E-7</v>
      </c>
      <c r="R118" s="171">
        <f>D144</f>
        <v>1.4032937064110047E-5</v>
      </c>
      <c r="S118" s="36">
        <f>L118</f>
        <v>0.28422599999999998</v>
      </c>
      <c r="T118" s="5">
        <f>LOG10(Q118)</f>
        <v>-6.1732230773835584</v>
      </c>
      <c r="U118" s="5">
        <f>LOG10(R118)</f>
        <v>-4.852851422539592</v>
      </c>
      <c r="V118" s="6" t="str">
        <f>G144</f>
        <v>Matrix213</v>
      </c>
    </row>
    <row r="119" spans="1:24" ht="24" customHeight="1" thickBot="1">
      <c r="I119" s="175">
        <f>B184</f>
        <v>115</v>
      </c>
      <c r="J119" s="36">
        <f>C190</f>
        <v>0.30191315149226172</v>
      </c>
      <c r="K119" s="36">
        <f>D190</f>
        <v>0.27548454487725227</v>
      </c>
      <c r="L119" s="36">
        <f>F181</f>
        <v>0.215418</v>
      </c>
      <c r="M119" s="5">
        <f t="shared" si="6"/>
        <v>-0.52011796847370362</v>
      </c>
      <c r="N119" s="5">
        <f t="shared" si="6"/>
        <v>-0.559902760742512</v>
      </c>
      <c r="P119" s="175">
        <f>I119</f>
        <v>115</v>
      </c>
      <c r="Q119" s="171">
        <f>C181</f>
        <v>1.6344185387081669E-8</v>
      </c>
      <c r="R119" s="171">
        <f>D181</f>
        <v>5.7835307677019661E-8</v>
      </c>
      <c r="S119" s="36">
        <f>L119</f>
        <v>0.215418</v>
      </c>
      <c r="T119" s="5">
        <f t="shared" ref="T119:U119" si="7">LOG10(Q119)</f>
        <v>-7.7866367202785725</v>
      </c>
      <c r="U119" s="5">
        <f t="shared" si="7"/>
        <v>-7.2378069496803885</v>
      </c>
      <c r="V119" s="6" t="str">
        <f>G190</f>
        <v>Matrix512</v>
      </c>
    </row>
    <row r="120" spans="1:24" ht="16.5" thickTop="1" thickBot="1">
      <c r="A120" s="143"/>
      <c r="B120" s="121"/>
      <c r="C120" s="121"/>
      <c r="D120" s="121"/>
      <c r="E120" s="177" t="s">
        <v>247</v>
      </c>
      <c r="F120" s="121"/>
      <c r="G120" s="144"/>
      <c r="I120" s="175">
        <f>B202</f>
        <v>115</v>
      </c>
      <c r="J120" s="36">
        <f>C208</f>
        <v>0.29807084236709569</v>
      </c>
      <c r="K120" s="36">
        <f>D208</f>
        <v>0.26754714809105762</v>
      </c>
      <c r="L120" s="36">
        <f>F199</f>
        <v>0.266762</v>
      </c>
      <c r="M120" s="5">
        <f t="shared" si="6"/>
        <v>-0.52568050507575592</v>
      </c>
      <c r="N120" s="5">
        <f t="shared" si="6"/>
        <v>-0.57259967401104128</v>
      </c>
      <c r="P120" s="175">
        <f>I120</f>
        <v>115</v>
      </c>
      <c r="Q120" s="171">
        <f>C199</f>
        <v>1.274031292162407E-8</v>
      </c>
      <c r="R120" s="171">
        <f>D199</f>
        <v>1.4177146835752645E-7</v>
      </c>
      <c r="S120" s="36">
        <f>L120</f>
        <v>0.266762</v>
      </c>
      <c r="T120" s="5">
        <f t="shared" ref="T120" si="8">LOG10(Q120)</f>
        <v>-7.8948199049311523</v>
      </c>
      <c r="U120" s="5">
        <f t="shared" ref="U120" si="9">LOG10(R120)</f>
        <v>-6.8484111625356467</v>
      </c>
      <c r="V120" s="9" t="str">
        <f>G199</f>
        <v>Matrix513</v>
      </c>
    </row>
    <row r="121" spans="1:24" ht="15.75" thickTop="1">
      <c r="A121" s="145"/>
      <c r="B121" s="123"/>
      <c r="C121" s="124" t="s">
        <v>258</v>
      </c>
      <c r="D121" s="124" t="s">
        <v>258</v>
      </c>
      <c r="E121" s="124" t="s">
        <v>258</v>
      </c>
      <c r="F121" s="124" t="s">
        <v>258</v>
      </c>
      <c r="G121" s="146"/>
      <c r="L121" s="123"/>
      <c r="M121" s="123"/>
      <c r="N121" s="123"/>
      <c r="O121" s="123"/>
      <c r="P121" s="123"/>
      <c r="Q121" s="123"/>
      <c r="S121" s="123"/>
      <c r="T121" s="123"/>
      <c r="U121" s="123"/>
      <c r="V121" s="123"/>
      <c r="W121" s="123"/>
      <c r="X121" s="123"/>
    </row>
    <row r="122" spans="1:24">
      <c r="A122" s="130"/>
      <c r="B122" s="123"/>
      <c r="C122" s="159">
        <f>AVERAGE(C124:C126)</f>
        <v>2.2446520605502672E-5</v>
      </c>
      <c r="D122" s="159">
        <f>AVERAGE(D124:D126)</f>
        <v>8.1184436744722978E-6</v>
      </c>
      <c r="E122" s="148">
        <f>AVERAGE(E124:E126)</f>
        <v>9.7766395011136265E-3</v>
      </c>
      <c r="F122" s="179">
        <f>AVERAGE(F124:F126)</f>
        <v>0.40856766666666666</v>
      </c>
      <c r="G122" s="98"/>
      <c r="L122" s="123"/>
      <c r="M122" s="123"/>
      <c r="N122" s="123"/>
      <c r="O122" s="123"/>
      <c r="P122" s="123"/>
      <c r="Q122" s="123"/>
      <c r="S122" s="123"/>
      <c r="T122" s="123"/>
      <c r="U122" s="123"/>
      <c r="V122" s="123"/>
      <c r="W122" s="123"/>
      <c r="X122" s="123"/>
    </row>
    <row r="123" spans="1:24">
      <c r="A123" s="130" t="s">
        <v>168</v>
      </c>
      <c r="B123" s="123"/>
      <c r="C123" s="150" t="s">
        <v>259</v>
      </c>
      <c r="D123" s="150" t="s">
        <v>260</v>
      </c>
      <c r="E123" s="150" t="s">
        <v>171</v>
      </c>
      <c r="F123" s="151" t="s">
        <v>16</v>
      </c>
      <c r="G123" s="152" t="s">
        <v>208</v>
      </c>
      <c r="L123" s="180"/>
      <c r="M123" s="159"/>
      <c r="N123" s="159"/>
      <c r="O123" s="149"/>
      <c r="P123" s="123"/>
      <c r="Q123" s="123"/>
      <c r="S123" s="180"/>
      <c r="T123" s="159"/>
      <c r="U123" s="159"/>
      <c r="V123" s="149"/>
      <c r="W123" s="123"/>
      <c r="X123" s="123"/>
    </row>
    <row r="124" spans="1:24">
      <c r="A124" s="130" t="s">
        <v>3</v>
      </c>
      <c r="B124" s="123">
        <v>6</v>
      </c>
      <c r="C124" s="123">
        <f>MatrixExamplesMathematica!B323</f>
        <v>4.7215108147563958E-5</v>
      </c>
      <c r="D124" s="123">
        <f>MatrixExamplesMathematica!D323</f>
        <v>1.1113347317151546E-5</v>
      </c>
      <c r="E124" s="153">
        <f>MatrixExamplesMathematica!H314</f>
        <v>1.2281189409257807E-3</v>
      </c>
      <c r="F124" s="123">
        <f>MatrixExamplesMathematica!L305</f>
        <v>0.700021</v>
      </c>
      <c r="G124" s="98" t="s">
        <v>236</v>
      </c>
      <c r="S124" s="123"/>
      <c r="T124" s="123"/>
      <c r="U124" s="123"/>
      <c r="V124" s="123"/>
      <c r="W124" s="123"/>
      <c r="X124" s="123"/>
    </row>
    <row r="125" spans="1:24">
      <c r="A125" s="130" t="s">
        <v>4</v>
      </c>
      <c r="B125" s="123">
        <v>12</v>
      </c>
      <c r="C125" s="123">
        <f>MatrixExamplesMathematica!B353</f>
        <v>7.9060402281368805E-6</v>
      </c>
      <c r="D125" s="123">
        <f>MatrixExamplesMathematica!D353</f>
        <v>1.1508292575740833E-5</v>
      </c>
      <c r="E125" s="153">
        <f>MatrixExamplesMathematica!H344</f>
        <v>2.7338473637884074E-2</v>
      </c>
      <c r="F125" s="123">
        <f>MatrixExamplesMathematica!L335</f>
        <v>0.38658100000000001</v>
      </c>
      <c r="G125" s="98" t="s">
        <v>237</v>
      </c>
    </row>
    <row r="126" spans="1:24">
      <c r="A126" s="130" t="s">
        <v>5</v>
      </c>
      <c r="B126" s="123">
        <v>4</v>
      </c>
      <c r="C126" s="123">
        <f>MatrixExamplesMathematica!B383</f>
        <v>1.2218413440807176E-5</v>
      </c>
      <c r="D126" s="123">
        <f>MatrixExamplesMathematica!D383</f>
        <v>1.7336911305245161E-6</v>
      </c>
      <c r="E126" s="153">
        <f>MatrixExamplesMathematica!H374</f>
        <v>7.6332592453102165E-4</v>
      </c>
      <c r="F126" s="123">
        <f>MatrixExamplesMathematica!L365</f>
        <v>0.139101</v>
      </c>
      <c r="G126" s="98" t="s">
        <v>238</v>
      </c>
    </row>
    <row r="127" spans="1:24">
      <c r="A127" s="140" t="s">
        <v>257</v>
      </c>
      <c r="B127" s="124">
        <f>SUM(B124:B126)</f>
        <v>22</v>
      </c>
      <c r="C127" s="123"/>
      <c r="D127" s="123"/>
      <c r="E127" s="153"/>
      <c r="F127" s="123"/>
      <c r="G127" s="98"/>
    </row>
    <row r="128" spans="1:24" ht="15.75" thickBot="1">
      <c r="A128" s="131"/>
      <c r="B128" s="126"/>
      <c r="C128" s="126"/>
      <c r="D128" s="126"/>
      <c r="E128" s="154"/>
      <c r="F128" s="126"/>
      <c r="G128" s="127"/>
    </row>
    <row r="129" spans="1:17" ht="16.5" thickTop="1" thickBot="1">
      <c r="E129" s="117"/>
    </row>
    <row r="130" spans="1:17" ht="15.75" thickTop="1">
      <c r="A130" s="128"/>
      <c r="B130" s="121"/>
      <c r="C130" s="121"/>
      <c r="D130" s="121"/>
      <c r="E130" s="177" t="s">
        <v>247</v>
      </c>
      <c r="F130" s="121"/>
      <c r="G130" s="122"/>
      <c r="K130" s="128"/>
      <c r="L130" s="121"/>
      <c r="M130" s="121"/>
      <c r="N130" s="121"/>
      <c r="O130" s="177" t="s">
        <v>247</v>
      </c>
      <c r="P130" s="121"/>
      <c r="Q130" s="122"/>
    </row>
    <row r="131" spans="1:17">
      <c r="A131" s="130"/>
      <c r="B131" s="123"/>
      <c r="C131" s="124" t="s">
        <v>258</v>
      </c>
      <c r="D131" s="124" t="s">
        <v>258</v>
      </c>
      <c r="E131" s="124" t="s">
        <v>258</v>
      </c>
      <c r="F131" s="124" t="s">
        <v>258</v>
      </c>
      <c r="G131" s="98"/>
      <c r="K131" s="130"/>
      <c r="L131" s="123"/>
      <c r="M131" s="124" t="s">
        <v>258</v>
      </c>
      <c r="N131" s="124" t="s">
        <v>258</v>
      </c>
      <c r="O131" s="124" t="s">
        <v>258</v>
      </c>
      <c r="P131" s="124" t="s">
        <v>258</v>
      </c>
      <c r="Q131" s="98"/>
    </row>
    <row r="132" spans="1:17">
      <c r="A132" s="130"/>
      <c r="B132" s="123"/>
      <c r="C132" s="159">
        <f>AVERAGE(C134:C136)</f>
        <v>1.4288794976223521E-2</v>
      </c>
      <c r="D132" s="159">
        <f>AVERAGE(D134:D136)</f>
        <v>1.3961263188610054E-2</v>
      </c>
      <c r="E132" s="148">
        <f>AVERAGE(E134:E136)</f>
        <v>9.7766395011136265E-3</v>
      </c>
      <c r="F132" s="149">
        <f>AVERAGE(F134:F136)</f>
        <v>0.40856766666666666</v>
      </c>
      <c r="G132" s="98"/>
      <c r="K132" s="130"/>
      <c r="L132" s="123"/>
      <c r="M132" s="159">
        <f>AVERAGE(M134:M135)</f>
        <v>8.8827014514668776E-8</v>
      </c>
      <c r="N132" s="159">
        <f>AVERAGE(N134:N135)</f>
        <v>3.1755958519136683E-8</v>
      </c>
      <c r="O132" s="148">
        <f>AVERAGE(O134:O135)</f>
        <v>2.9415086603489038E-3</v>
      </c>
      <c r="P132" s="149">
        <f>AVERAGE(P134:P135)</f>
        <v>0.30957900000000005</v>
      </c>
      <c r="Q132" s="98"/>
    </row>
    <row r="133" spans="1:17" ht="45">
      <c r="A133" s="130" t="s">
        <v>168</v>
      </c>
      <c r="B133" s="123"/>
      <c r="C133" s="150" t="s">
        <v>255</v>
      </c>
      <c r="D133" s="150" t="s">
        <v>256</v>
      </c>
      <c r="E133" s="150" t="s">
        <v>171</v>
      </c>
      <c r="F133" s="151" t="s">
        <v>16</v>
      </c>
      <c r="G133" s="152" t="s">
        <v>208</v>
      </c>
      <c r="K133" s="130" t="s">
        <v>168</v>
      </c>
      <c r="L133" s="123"/>
      <c r="M133" s="150" t="s">
        <v>259</v>
      </c>
      <c r="N133" s="150" t="s">
        <v>260</v>
      </c>
      <c r="O133" s="150" t="s">
        <v>171</v>
      </c>
      <c r="P133" s="151" t="s">
        <v>16</v>
      </c>
      <c r="Q133" s="152" t="s">
        <v>208</v>
      </c>
    </row>
    <row r="134" spans="1:17">
      <c r="A134" s="130" t="s">
        <v>3</v>
      </c>
      <c r="B134" s="123">
        <v>6</v>
      </c>
      <c r="C134" s="123">
        <f>MatrixExamplesMathematica!E320</f>
        <v>9.0253022086550505E-3</v>
      </c>
      <c r="D134" s="123">
        <f>MatrixExamplesMathematica!E323</f>
        <v>8.7294481732160811E-3</v>
      </c>
      <c r="E134" s="153">
        <f>E124</f>
        <v>1.2281189409257807E-3</v>
      </c>
      <c r="F134" s="123">
        <f>F124</f>
        <v>0.700021</v>
      </c>
      <c r="G134" s="98" t="s">
        <v>236</v>
      </c>
      <c r="K134" s="130" t="s">
        <v>3</v>
      </c>
      <c r="L134" s="123">
        <v>30</v>
      </c>
      <c r="M134" s="123">
        <f>MatrixExamplesMathematica!BH324</f>
        <v>9.8463682777271306E-9</v>
      </c>
      <c r="N134" s="123">
        <f>MatrixExamplesMathematica!BJ324</f>
        <v>2.5360423379526932E-9</v>
      </c>
      <c r="O134" s="153">
        <f>MatrixExamplesMathematica!BN315</f>
        <v>1.734361132263308E-3</v>
      </c>
      <c r="P134" s="123">
        <f>MatrixExamplesMathematica!BR306</f>
        <v>0.112238</v>
      </c>
      <c r="Q134" s="98" t="s">
        <v>271</v>
      </c>
    </row>
    <row r="135" spans="1:17">
      <c r="A135" s="130" t="s">
        <v>4</v>
      </c>
      <c r="B135" s="123">
        <v>12</v>
      </c>
      <c r="C135" s="123">
        <f>MatrixExamplesMathematica!E350</f>
        <v>2.8493377336352266E-2</v>
      </c>
      <c r="D135" s="123">
        <f>MatrixExamplesMathematica!E353</f>
        <v>2.8122779257337305E-2</v>
      </c>
      <c r="E135" s="153">
        <f t="shared" ref="E135:E136" si="10">E125</f>
        <v>2.7338473637884074E-2</v>
      </c>
      <c r="F135" s="123">
        <f t="shared" ref="F135" si="11">F125</f>
        <v>0.38658100000000001</v>
      </c>
      <c r="G135" s="98" t="s">
        <v>237</v>
      </c>
      <c r="K135" s="130" t="s">
        <v>4</v>
      </c>
      <c r="L135" s="123">
        <v>60</v>
      </c>
      <c r="M135" s="123">
        <f>MatrixExamplesMathematica!BH354</f>
        <v>1.6780766075161042E-7</v>
      </c>
      <c r="N135" s="123">
        <f>MatrixExamplesMathematica!BJ354</f>
        <v>6.0975874700320669E-8</v>
      </c>
      <c r="O135" s="153">
        <f>MatrixExamplesMathematica!BN345</f>
        <v>4.1486561884344995E-3</v>
      </c>
      <c r="P135" s="123">
        <f>MatrixExamplesMathematica!BR336</f>
        <v>0.50692000000000004</v>
      </c>
      <c r="Q135" s="98" t="s">
        <v>272</v>
      </c>
    </row>
    <row r="136" spans="1:17">
      <c r="A136" s="130" t="s">
        <v>5</v>
      </c>
      <c r="B136" s="123">
        <v>4</v>
      </c>
      <c r="C136" s="123">
        <f>MatrixExamplesMathematica!E380</f>
        <v>5.3477053836632482E-3</v>
      </c>
      <c r="D136" s="123">
        <f>MatrixExamplesMathematica!E383</f>
        <v>5.0315621352767792E-3</v>
      </c>
      <c r="E136" s="153">
        <f t="shared" si="10"/>
        <v>7.6332592453102165E-4</v>
      </c>
      <c r="F136" s="123">
        <f>F126</f>
        <v>0.139101</v>
      </c>
      <c r="G136" s="98" t="s">
        <v>238</v>
      </c>
      <c r="K136" s="130" t="s">
        <v>5</v>
      </c>
      <c r="L136" s="123">
        <v>25</v>
      </c>
      <c r="M136" s="123"/>
      <c r="N136" s="123"/>
      <c r="O136" s="153"/>
      <c r="P136" s="123"/>
      <c r="Q136" s="98"/>
    </row>
    <row r="137" spans="1:17">
      <c r="A137" s="140" t="s">
        <v>257</v>
      </c>
      <c r="B137" s="124">
        <f>SUM(B134:B136)</f>
        <v>22</v>
      </c>
      <c r="C137" s="123"/>
      <c r="D137" s="123"/>
      <c r="E137" s="125"/>
      <c r="F137" s="123"/>
      <c r="G137" s="98"/>
      <c r="K137" s="140" t="s">
        <v>257</v>
      </c>
      <c r="L137" s="124">
        <f>SUM(L134:L136)</f>
        <v>115</v>
      </c>
      <c r="M137" s="123"/>
      <c r="N137" s="123"/>
      <c r="O137" s="125"/>
      <c r="P137" s="123"/>
      <c r="Q137" s="98"/>
    </row>
    <row r="138" spans="1:17" ht="15.75" thickBot="1">
      <c r="A138" s="131"/>
      <c r="B138" s="126"/>
      <c r="C138" s="126"/>
      <c r="D138" s="126"/>
      <c r="E138" s="155"/>
      <c r="F138" s="126"/>
      <c r="G138" s="127"/>
      <c r="K138" s="131"/>
      <c r="L138" s="126"/>
      <c r="M138" s="126"/>
      <c r="N138" s="126"/>
      <c r="O138" s="155"/>
      <c r="P138" s="126"/>
      <c r="Q138" s="127"/>
    </row>
    <row r="139" spans="1:17" ht="16.5" thickTop="1" thickBot="1">
      <c r="A139" s="123"/>
      <c r="B139" s="123"/>
      <c r="C139" s="123"/>
      <c r="D139" s="123"/>
      <c r="E139" s="125"/>
      <c r="F139" s="123"/>
      <c r="G139" s="123"/>
    </row>
    <row r="140" spans="1:17" ht="15.75" thickTop="1">
      <c r="A140" s="128"/>
      <c r="B140" s="121"/>
      <c r="C140" s="121"/>
      <c r="D140" s="121"/>
      <c r="E140" s="178" t="s">
        <v>248</v>
      </c>
      <c r="F140" s="121"/>
      <c r="G140" s="122"/>
      <c r="K140" s="128"/>
      <c r="L140" s="121"/>
      <c r="M140" s="121"/>
      <c r="N140" s="121"/>
      <c r="O140" s="177" t="s">
        <v>247</v>
      </c>
      <c r="P140" s="121"/>
      <c r="Q140" s="122"/>
    </row>
    <row r="141" spans="1:17">
      <c r="A141" s="130"/>
      <c r="B141" s="123"/>
      <c r="C141" s="124" t="s">
        <v>258</v>
      </c>
      <c r="D141" s="124" t="s">
        <v>258</v>
      </c>
      <c r="E141" s="124" t="s">
        <v>258</v>
      </c>
      <c r="F141" s="124" t="s">
        <v>258</v>
      </c>
      <c r="G141" s="98"/>
      <c r="K141" s="130"/>
      <c r="L141" s="123"/>
      <c r="M141" s="124" t="s">
        <v>258</v>
      </c>
      <c r="N141" s="124" t="s">
        <v>258</v>
      </c>
      <c r="O141" s="124" t="s">
        <v>258</v>
      </c>
      <c r="P141" s="124" t="s">
        <v>258</v>
      </c>
      <c r="Q141" s="98"/>
    </row>
    <row r="142" spans="1:17">
      <c r="A142" s="130"/>
      <c r="B142" s="123"/>
      <c r="C142" s="159">
        <f>AVERAGE(C144:C147)</f>
        <v>6.4134117217467526E-6</v>
      </c>
      <c r="D142" s="159">
        <f>AVERAGE(D144:D147)</f>
        <v>7.158385389579829E-6</v>
      </c>
      <c r="E142" s="148">
        <f>AVERAGE(E144:E147)</f>
        <v>4.096490801647E-2</v>
      </c>
      <c r="F142" s="179">
        <f>AVERAGE(F144:F147)</f>
        <v>0.38413575</v>
      </c>
      <c r="G142" s="98"/>
      <c r="K142" s="130"/>
      <c r="L142" s="123"/>
      <c r="M142" s="159">
        <f>AVERAGE(M144:M145)</f>
        <v>8.3761763567143652E-4</v>
      </c>
      <c r="N142" s="159">
        <f>AVERAGE(N144:N145)</f>
        <v>8.4608705388855771E-4</v>
      </c>
      <c r="O142" s="148">
        <f>AVERAGE(O144:O145)</f>
        <v>2.9415086603489038E-3</v>
      </c>
      <c r="P142" s="149">
        <f>AVERAGE(P144:P145)</f>
        <v>0.30957900000000005</v>
      </c>
      <c r="Q142" s="98"/>
    </row>
    <row r="143" spans="1:17" ht="60">
      <c r="A143" s="130" t="s">
        <v>168</v>
      </c>
      <c r="B143" s="123"/>
      <c r="C143" s="150" t="s">
        <v>259</v>
      </c>
      <c r="D143" s="150" t="s">
        <v>260</v>
      </c>
      <c r="E143" s="150" t="s">
        <v>171</v>
      </c>
      <c r="F143" s="151" t="s">
        <v>16</v>
      </c>
      <c r="G143" s="152" t="s">
        <v>208</v>
      </c>
      <c r="K143" s="130" t="s">
        <v>168</v>
      </c>
      <c r="L143" s="123"/>
      <c r="M143" s="150" t="s">
        <v>255</v>
      </c>
      <c r="N143" s="150" t="s">
        <v>256</v>
      </c>
      <c r="O143" s="150" t="s">
        <v>171</v>
      </c>
      <c r="P143" s="151" t="s">
        <v>16</v>
      </c>
      <c r="Q143" s="152" t="s">
        <v>208</v>
      </c>
    </row>
    <row r="144" spans="1:17">
      <c r="A144" s="130" t="s">
        <v>3</v>
      </c>
      <c r="B144" s="123">
        <v>6</v>
      </c>
      <c r="C144" s="123">
        <f>MatrixExamplesMathematica!B443</f>
        <v>6.7108405892825674E-7</v>
      </c>
      <c r="D144" s="123">
        <f>MatrixExamplesMathematica!D443</f>
        <v>1.4032937064110047E-5</v>
      </c>
      <c r="E144" s="153">
        <f>MatrixExamplesMathematica!H434</f>
        <v>3.6854946985805527E-2</v>
      </c>
      <c r="F144" s="123">
        <f>MatrixExamplesMathematica!L425</f>
        <v>0.28422599999999998</v>
      </c>
      <c r="G144" s="98" t="s">
        <v>226</v>
      </c>
      <c r="K144" s="130" t="s">
        <v>3</v>
      </c>
      <c r="L144" s="123">
        <v>30</v>
      </c>
      <c r="M144" s="123">
        <f>MatrixExamplesMathematica!BK321</f>
        <v>1.1363289607921878E-3</v>
      </c>
      <c r="N144" s="123">
        <f>MatrixExamplesMathematica!BK324</f>
        <v>1.1398847272410251E-3</v>
      </c>
      <c r="O144" s="153">
        <f>O134</f>
        <v>1.734361132263308E-3</v>
      </c>
      <c r="P144" s="123">
        <f>P134</f>
        <v>0.112238</v>
      </c>
      <c r="Q144" s="98" t="s">
        <v>271</v>
      </c>
    </row>
    <row r="145" spans="1:17">
      <c r="A145" s="130" t="s">
        <v>4</v>
      </c>
      <c r="B145" s="123">
        <v>12</v>
      </c>
      <c r="C145" s="123">
        <f>MatrixExamplesMathematica!B473</f>
        <v>2.8550452898183906E-6</v>
      </c>
      <c r="D145" s="123">
        <f>MatrixExamplesMathematica!D473</f>
        <v>6.2933392807304157E-6</v>
      </c>
      <c r="E145" s="153">
        <f>MatrixExamplesMathematica!H464</f>
        <v>4.181943329078406E-2</v>
      </c>
      <c r="F145" s="123">
        <f>MatrixExamplesMathematica!L455</f>
        <v>0.41782599999999998</v>
      </c>
      <c r="G145" s="98" t="s">
        <v>227</v>
      </c>
      <c r="K145" s="130" t="s">
        <v>4</v>
      </c>
      <c r="L145" s="123">
        <v>60</v>
      </c>
      <c r="M145" s="123">
        <f>MatrixExamplesMathematica!BK351</f>
        <v>5.3890631055068523E-4</v>
      </c>
      <c r="N145" s="123">
        <f>MatrixExamplesMathematica!BK354</f>
        <v>5.5228938053609035E-4</v>
      </c>
      <c r="O145" s="153">
        <f>O135</f>
        <v>4.1486561884344995E-3</v>
      </c>
      <c r="P145" s="123">
        <f>P135</f>
        <v>0.50692000000000004</v>
      </c>
      <c r="Q145" s="98" t="s">
        <v>272</v>
      </c>
    </row>
    <row r="146" spans="1:17">
      <c r="A146" s="130" t="s">
        <v>5</v>
      </c>
      <c r="B146" s="123">
        <v>4</v>
      </c>
      <c r="C146" s="123">
        <f>MatrixExamplesMathematica!B503</f>
        <v>4.6804004724598696E-6</v>
      </c>
      <c r="D146" s="123">
        <f>MatrixExamplesMathematica!D503</f>
        <v>3.7641597336982811E-6</v>
      </c>
      <c r="E146" s="153">
        <f>MatrixExamplesMathematica!H494</f>
        <v>5.773734477228476E-2</v>
      </c>
      <c r="F146" s="123">
        <f>MatrixExamplesMathematica!L485</f>
        <v>0.28367700000000001</v>
      </c>
      <c r="G146" s="98" t="s">
        <v>228</v>
      </c>
      <c r="K146" s="130" t="s">
        <v>5</v>
      </c>
      <c r="L146" s="123">
        <v>25</v>
      </c>
      <c r="M146" s="123"/>
      <c r="N146" s="123"/>
      <c r="O146" s="153"/>
      <c r="P146" s="123"/>
      <c r="Q146" s="98"/>
    </row>
    <row r="147" spans="1:17">
      <c r="A147" s="140" t="s">
        <v>257</v>
      </c>
      <c r="B147" s="124">
        <f>SUM(B144:B146)</f>
        <v>22</v>
      </c>
      <c r="C147" s="123">
        <f>MatrixExamplesMathematica!B533</f>
        <v>1.7447117065780491E-5</v>
      </c>
      <c r="D147" s="123">
        <f>MatrixExamplesMathematica!D533</f>
        <v>4.543105479780572E-6</v>
      </c>
      <c r="E147" s="153">
        <f>MatrixExamplesMathematica!H524</f>
        <v>2.7447907017005668E-2</v>
      </c>
      <c r="F147" s="123">
        <f>MatrixExamplesMathematica!L515</f>
        <v>0.55081400000000003</v>
      </c>
      <c r="G147" s="98" t="s">
        <v>229</v>
      </c>
      <c r="K147" s="140" t="s">
        <v>257</v>
      </c>
      <c r="L147" s="124">
        <f>SUM(L144:L146)</f>
        <v>115</v>
      </c>
      <c r="M147" s="123"/>
      <c r="N147" s="123"/>
      <c r="O147" s="125"/>
      <c r="P147" s="123"/>
      <c r="Q147" s="98"/>
    </row>
    <row r="148" spans="1:17" ht="15.75" thickBot="1">
      <c r="A148" s="131"/>
      <c r="B148" s="126"/>
      <c r="C148" s="126"/>
      <c r="D148" s="126"/>
      <c r="E148" s="155"/>
      <c r="F148" s="126"/>
      <c r="G148" s="127"/>
      <c r="K148" s="131"/>
      <c r="L148" s="126"/>
      <c r="M148" s="126"/>
      <c r="N148" s="126"/>
      <c r="O148" s="155"/>
      <c r="P148" s="126"/>
      <c r="Q148" s="127"/>
    </row>
    <row r="149" spans="1:17" ht="16.5" thickTop="1" thickBot="1">
      <c r="E149" s="114"/>
    </row>
    <row r="150" spans="1:17" ht="15.75" thickTop="1">
      <c r="A150" s="128"/>
      <c r="B150" s="121"/>
      <c r="C150" s="121"/>
      <c r="D150" s="121"/>
      <c r="E150" s="178" t="s">
        <v>248</v>
      </c>
      <c r="F150" s="121"/>
      <c r="G150" s="122"/>
    </row>
    <row r="151" spans="1:17">
      <c r="A151" s="130"/>
      <c r="B151" s="123"/>
      <c r="C151" s="123"/>
      <c r="D151" s="123"/>
      <c r="E151" s="123"/>
      <c r="F151" s="123"/>
      <c r="G151" s="98"/>
      <c r="L151" s="124"/>
      <c r="M151" s="123"/>
      <c r="N151" s="123"/>
      <c r="O151" s="123"/>
      <c r="P151" s="123"/>
      <c r="Q151" s="123"/>
    </row>
    <row r="152" spans="1:17">
      <c r="A152" s="130"/>
      <c r="B152" s="123"/>
      <c r="C152" s="135">
        <f>AVERAGE(C154:C157)</f>
        <v>0.48672719847581769</v>
      </c>
      <c r="D152" s="135">
        <f>AVERAGE(D154:D157)</f>
        <v>0.40674825410304571</v>
      </c>
      <c r="E152" s="148">
        <f>AVERAGE(E154:E157)</f>
        <v>4.096490801647E-2</v>
      </c>
      <c r="F152" s="149">
        <f>AVERAGE(F154:F157)</f>
        <v>0.38413575</v>
      </c>
      <c r="G152" s="98"/>
      <c r="L152" s="151"/>
      <c r="M152" s="150"/>
      <c r="N152" s="150"/>
      <c r="O152" s="151"/>
      <c r="P152" s="150"/>
      <c r="Q152" s="150"/>
    </row>
    <row r="153" spans="1:17" ht="45">
      <c r="A153" s="130" t="s">
        <v>168</v>
      </c>
      <c r="B153" s="123"/>
      <c r="C153" s="150" t="s">
        <v>255</v>
      </c>
      <c r="D153" s="150" t="s">
        <v>256</v>
      </c>
      <c r="E153" s="150" t="s">
        <v>171</v>
      </c>
      <c r="F153" s="151" t="s">
        <v>16</v>
      </c>
      <c r="G153" s="152" t="s">
        <v>208</v>
      </c>
      <c r="L153" s="180"/>
      <c r="M153" s="159"/>
      <c r="N153" s="159"/>
      <c r="O153" s="149"/>
      <c r="P153" s="123"/>
      <c r="Q153" s="123"/>
    </row>
    <row r="154" spans="1:17">
      <c r="A154" s="130" t="s">
        <v>3</v>
      </c>
      <c r="B154" s="123">
        <v>6</v>
      </c>
      <c r="C154" s="123">
        <f>MatrixExamplesMathematica!E440</f>
        <v>0.45021283206367402</v>
      </c>
      <c r="D154" s="123">
        <f>MatrixExamplesMathematica!E443</f>
        <v>0.392791570365016</v>
      </c>
      <c r="E154" s="153">
        <f>E144</f>
        <v>3.6854946985805527E-2</v>
      </c>
      <c r="F154" s="123">
        <f>F144</f>
        <v>0.28422599999999998</v>
      </c>
      <c r="G154" s="98" t="s">
        <v>226</v>
      </c>
      <c r="L154" s="180"/>
      <c r="M154" s="159"/>
      <c r="N154" s="159"/>
      <c r="O154" s="149"/>
      <c r="P154" s="123"/>
      <c r="Q154" s="123"/>
    </row>
    <row r="155" spans="1:17">
      <c r="A155" s="130" t="s">
        <v>4</v>
      </c>
      <c r="B155" s="123">
        <v>12</v>
      </c>
      <c r="C155" s="123">
        <f>MatrixExamplesMathematica!E470</f>
        <v>0.56978989454530682</v>
      </c>
      <c r="D155" s="123">
        <f>MatrixExamplesMathematica!E473</f>
        <v>0.45241129285500215</v>
      </c>
      <c r="E155" s="153">
        <f t="shared" ref="E155:E157" si="12">E145</f>
        <v>4.181943329078406E-2</v>
      </c>
      <c r="F155" s="123">
        <f t="shared" ref="F155:F157" si="13">F145</f>
        <v>0.41782599999999998</v>
      </c>
      <c r="G155" s="98" t="s">
        <v>227</v>
      </c>
      <c r="L155" s="180"/>
      <c r="M155" s="159"/>
      <c r="N155" s="159"/>
      <c r="O155" s="149"/>
      <c r="P155" s="123"/>
      <c r="Q155" s="123"/>
    </row>
    <row r="156" spans="1:17">
      <c r="A156" s="130" t="s">
        <v>5</v>
      </c>
      <c r="B156" s="123">
        <v>4</v>
      </c>
      <c r="C156" s="123">
        <f>MatrixExamplesMathematica!E500</f>
        <v>0.66436324914473222</v>
      </c>
      <c r="D156" s="123">
        <f>MatrixExamplesMathematica!E503</f>
        <v>0.56848311094589965</v>
      </c>
      <c r="E156" s="153">
        <f t="shared" si="12"/>
        <v>5.773734477228476E-2</v>
      </c>
      <c r="F156" s="123">
        <f t="shared" si="13"/>
        <v>0.28367700000000001</v>
      </c>
      <c r="G156" s="98" t="s">
        <v>228</v>
      </c>
      <c r="L156" s="180"/>
      <c r="M156" s="159"/>
      <c r="N156" s="159"/>
      <c r="O156" s="149"/>
      <c r="P156" s="123"/>
      <c r="Q156" s="123"/>
    </row>
    <row r="157" spans="1:17">
      <c r="A157" s="140" t="s">
        <v>257</v>
      </c>
      <c r="B157" s="124">
        <f>SUM(B154:B156)</f>
        <v>22</v>
      </c>
      <c r="C157" s="123">
        <f>MatrixExamplesMathematica!E530</f>
        <v>0.26254281814955771</v>
      </c>
      <c r="D157" s="123">
        <f>MatrixExamplesMathematica!E533</f>
        <v>0.21330704224626507</v>
      </c>
      <c r="E157" s="153">
        <f t="shared" si="12"/>
        <v>2.7447907017005668E-2</v>
      </c>
      <c r="F157" s="123">
        <f t="shared" si="13"/>
        <v>0.55081400000000003</v>
      </c>
      <c r="G157" s="98" t="s">
        <v>229</v>
      </c>
      <c r="L157" s="180"/>
      <c r="M157" s="159"/>
      <c r="N157" s="159"/>
      <c r="O157" s="149"/>
      <c r="P157" s="123"/>
      <c r="Q157" s="123"/>
    </row>
    <row r="158" spans="1:17" ht="15.75" thickBot="1">
      <c r="A158" s="131"/>
      <c r="B158" s="126"/>
      <c r="C158" s="126"/>
      <c r="D158" s="126"/>
      <c r="E158" s="157"/>
      <c r="F158" s="126"/>
      <c r="G158" s="127"/>
    </row>
    <row r="159" spans="1:17" ht="16.5" thickTop="1" thickBot="1">
      <c r="E159" s="115"/>
    </row>
    <row r="160" spans="1:17" ht="15.75" thickTop="1">
      <c r="A160" s="128"/>
      <c r="B160" s="121"/>
      <c r="C160" s="121"/>
      <c r="D160" s="121"/>
      <c r="E160" s="178" t="s">
        <v>248</v>
      </c>
      <c r="F160" s="121"/>
      <c r="G160" s="122"/>
    </row>
    <row r="161" spans="1:7">
      <c r="A161" s="130"/>
      <c r="B161" s="123"/>
      <c r="C161" s="159">
        <f>AVERAGE(C163:C163)</f>
        <v>1.2284218071870182E-8</v>
      </c>
      <c r="D161" s="159">
        <f>AVERAGE(D163:D163)</f>
        <v>5.5678712176131461E-9</v>
      </c>
      <c r="E161" s="148">
        <f>AVERAGE(E163:E163)</f>
        <v>1.7596423027003576E-2</v>
      </c>
      <c r="F161" s="149">
        <f>AVERAGE(F163:F163)</f>
        <v>7.6402200000000003E-2</v>
      </c>
      <c r="G161" s="98"/>
    </row>
    <row r="162" spans="1:7">
      <c r="A162" s="130" t="s">
        <v>168</v>
      </c>
      <c r="B162" s="123"/>
      <c r="C162" s="150" t="s">
        <v>259</v>
      </c>
      <c r="D162" s="150" t="s">
        <v>260</v>
      </c>
      <c r="E162" s="150" t="s">
        <v>171</v>
      </c>
      <c r="F162" s="151" t="s">
        <v>16</v>
      </c>
      <c r="G162" s="152" t="s">
        <v>208</v>
      </c>
    </row>
    <row r="163" spans="1:7">
      <c r="A163" s="130" t="s">
        <v>3</v>
      </c>
      <c r="B163" s="123">
        <v>20</v>
      </c>
      <c r="C163" s="123">
        <f>MatrixExamplesMathematica!AK233</f>
        <v>1.2284218071870182E-8</v>
      </c>
      <c r="D163" s="123">
        <f>MatrixExamplesMathematica!AM233</f>
        <v>5.5678712176131461E-9</v>
      </c>
      <c r="E163" s="132">
        <f>MatrixExamplesMathematica!AQ224</f>
        <v>1.7596423027003576E-2</v>
      </c>
      <c r="F163" s="123">
        <f>MatrixExamplesMathematica!AU215</f>
        <v>7.6402200000000003E-2</v>
      </c>
      <c r="G163" s="98" t="s">
        <v>230</v>
      </c>
    </row>
    <row r="164" spans="1:7">
      <c r="A164" s="130" t="s">
        <v>4</v>
      </c>
      <c r="B164" s="123">
        <v>40</v>
      </c>
      <c r="C164" s="123"/>
      <c r="D164" s="123"/>
      <c r="E164" s="132"/>
      <c r="F164" s="123"/>
      <c r="G164" s="98"/>
    </row>
    <row r="165" spans="1:7">
      <c r="A165" s="130" t="s">
        <v>5</v>
      </c>
      <c r="B165" s="123">
        <v>15</v>
      </c>
      <c r="C165" s="123"/>
      <c r="D165" s="123"/>
      <c r="E165" s="123"/>
      <c r="F165" s="123"/>
      <c r="G165" s="98"/>
    </row>
    <row r="166" spans="1:7" ht="15.75" thickBot="1">
      <c r="A166" s="141" t="s">
        <v>257</v>
      </c>
      <c r="B166" s="158">
        <f>SUM(B163:B165)</f>
        <v>75</v>
      </c>
      <c r="C166" s="126"/>
      <c r="D166" s="126"/>
      <c r="E166" s="126"/>
      <c r="F166" s="126"/>
      <c r="G166" s="127"/>
    </row>
    <row r="167" spans="1:7" ht="15.75" thickTop="1"/>
    <row r="168" spans="1:7" ht="15.75" thickBot="1"/>
    <row r="169" spans="1:7" ht="15.75" thickTop="1">
      <c r="A169" s="128"/>
      <c r="B169" s="121"/>
      <c r="C169" s="121"/>
      <c r="D169" s="121"/>
      <c r="E169" s="178" t="s">
        <v>248</v>
      </c>
      <c r="F169" s="121"/>
      <c r="G169" s="122"/>
    </row>
    <row r="170" spans="1:7">
      <c r="A170" s="130"/>
      <c r="B170" s="123"/>
      <c r="C170" s="159">
        <f>AVERAGE(C172:C172)</f>
        <v>0.34789102614482736</v>
      </c>
      <c r="D170" s="159">
        <f>AVERAGE(D172:D172)</f>
        <v>0.33498082005184004</v>
      </c>
      <c r="E170" s="148">
        <f>AVERAGE(E172:E172)</f>
        <v>1.7596423027003576E-2</v>
      </c>
      <c r="F170" s="149">
        <f>AVERAGE(F172:F172)</f>
        <v>7.6402200000000003E-2</v>
      </c>
      <c r="G170" s="98"/>
    </row>
    <row r="171" spans="1:7" ht="45">
      <c r="A171" s="130" t="s">
        <v>168</v>
      </c>
      <c r="B171" s="123"/>
      <c r="C171" s="150" t="s">
        <v>255</v>
      </c>
      <c r="D171" s="150" t="s">
        <v>256</v>
      </c>
      <c r="E171" s="150" t="s">
        <v>171</v>
      </c>
      <c r="F171" s="151" t="s">
        <v>16</v>
      </c>
      <c r="G171" s="152" t="s">
        <v>208</v>
      </c>
    </row>
    <row r="172" spans="1:7">
      <c r="A172" s="130" t="s">
        <v>3</v>
      </c>
      <c r="B172" s="123">
        <v>20</v>
      </c>
      <c r="C172" s="123">
        <f>MatrixExamplesMathematica!AN230</f>
        <v>0.34789102614482736</v>
      </c>
      <c r="D172" s="123">
        <f>MatrixExamplesMathematica!AN233</f>
        <v>0.33498082005184004</v>
      </c>
      <c r="E172" s="132">
        <f>E163</f>
        <v>1.7596423027003576E-2</v>
      </c>
      <c r="F172" s="123">
        <f>F163</f>
        <v>7.6402200000000003E-2</v>
      </c>
      <c r="G172" s="98" t="s">
        <v>230</v>
      </c>
    </row>
    <row r="173" spans="1:7">
      <c r="A173" s="130" t="s">
        <v>4</v>
      </c>
      <c r="B173" s="123">
        <v>40</v>
      </c>
      <c r="C173" s="123"/>
      <c r="D173" s="123"/>
      <c r="E173" s="132"/>
      <c r="F173" s="123"/>
      <c r="G173" s="98"/>
    </row>
    <row r="174" spans="1:7">
      <c r="A174" s="130" t="s">
        <v>5</v>
      </c>
      <c r="B174" s="123">
        <v>15</v>
      </c>
      <c r="C174" s="123"/>
      <c r="D174" s="123"/>
      <c r="E174" s="123"/>
      <c r="F174" s="123"/>
      <c r="G174" s="98"/>
    </row>
    <row r="175" spans="1:7" ht="15.75" thickBot="1">
      <c r="A175" s="141" t="s">
        <v>257</v>
      </c>
      <c r="B175" s="158">
        <f>SUM(B172:B174)</f>
        <v>75</v>
      </c>
      <c r="C175" s="126"/>
      <c r="D175" s="126"/>
      <c r="E175" s="126"/>
      <c r="F175" s="126"/>
      <c r="G175" s="127"/>
    </row>
    <row r="176" spans="1:7" ht="15.75" thickTop="1"/>
    <row r="177" spans="1:7" ht="15.75" thickBot="1"/>
    <row r="178" spans="1:7" ht="15.75" thickTop="1">
      <c r="A178" s="128"/>
      <c r="B178" s="121"/>
      <c r="C178" s="121"/>
      <c r="D178" s="121"/>
      <c r="E178" s="178" t="s">
        <v>248</v>
      </c>
      <c r="F178" s="121"/>
      <c r="G178" s="122"/>
    </row>
    <row r="179" spans="1:7">
      <c r="A179" s="130"/>
      <c r="B179" s="123"/>
      <c r="C179" s="159">
        <f>AVERAGE(C181:C181)</f>
        <v>1.6344185387081669E-8</v>
      </c>
      <c r="D179" s="159">
        <f>AVERAGE(D181:D181)</f>
        <v>5.7835307677019661E-8</v>
      </c>
      <c r="E179" s="148">
        <f>AVERAGE(E181:E181)</f>
        <v>3.1541804714704656E-2</v>
      </c>
      <c r="F179" s="149">
        <f>AVERAGE(F181:F181)</f>
        <v>0.215418</v>
      </c>
      <c r="G179" s="98"/>
    </row>
    <row r="180" spans="1:7">
      <c r="A180" s="130" t="s">
        <v>168</v>
      </c>
      <c r="B180" s="123"/>
      <c r="C180" s="150" t="s">
        <v>259</v>
      </c>
      <c r="D180" s="150" t="s">
        <v>260</v>
      </c>
      <c r="E180" s="150" t="s">
        <v>171</v>
      </c>
      <c r="F180" s="151" t="s">
        <v>16</v>
      </c>
      <c r="G180" s="152" t="s">
        <v>208</v>
      </c>
    </row>
    <row r="181" spans="1:7">
      <c r="A181" s="130" t="s">
        <v>3</v>
      </c>
      <c r="B181" s="123">
        <v>30</v>
      </c>
      <c r="C181" s="123">
        <f>MatrixExamplesMathematica!BH384</f>
        <v>1.6344185387081669E-8</v>
      </c>
      <c r="D181" s="123">
        <f>MatrixExamplesMathematica!BJ384</f>
        <v>5.7835307677019661E-8</v>
      </c>
      <c r="E181" s="132">
        <f>MatrixExamplesMathematica!BN375</f>
        <v>3.1541804714704656E-2</v>
      </c>
      <c r="F181" s="123">
        <f>MatrixExamplesMathematica!BR366</f>
        <v>0.215418</v>
      </c>
      <c r="G181" s="98" t="s">
        <v>276</v>
      </c>
    </row>
    <row r="182" spans="1:7">
      <c r="A182" s="130" t="s">
        <v>4</v>
      </c>
      <c r="B182" s="123">
        <v>60</v>
      </c>
      <c r="C182" s="123"/>
      <c r="D182" s="123"/>
      <c r="E182" s="132"/>
      <c r="F182" s="123"/>
      <c r="G182" s="98"/>
    </row>
    <row r="183" spans="1:7">
      <c r="A183" s="130" t="s">
        <v>5</v>
      </c>
      <c r="B183" s="123">
        <v>25</v>
      </c>
      <c r="C183" s="123"/>
      <c r="D183" s="123"/>
      <c r="E183" s="123"/>
      <c r="F183" s="123"/>
      <c r="G183" s="98"/>
    </row>
    <row r="184" spans="1:7" ht="15.75" thickBot="1">
      <c r="A184" s="141" t="s">
        <v>257</v>
      </c>
      <c r="B184" s="158">
        <f>SUM(B181:B183)</f>
        <v>115</v>
      </c>
      <c r="C184" s="126"/>
      <c r="D184" s="126"/>
      <c r="E184" s="126"/>
      <c r="F184" s="126"/>
      <c r="G184" s="127"/>
    </row>
    <row r="185" spans="1:7" ht="15.75" thickTop="1"/>
    <row r="186" spans="1:7" ht="15.75" thickBot="1"/>
    <row r="187" spans="1:7" ht="15.75" thickTop="1">
      <c r="A187" s="128"/>
      <c r="B187" s="121"/>
      <c r="C187" s="121"/>
      <c r="D187" s="121"/>
      <c r="E187" s="178" t="s">
        <v>248</v>
      </c>
      <c r="F187" s="121"/>
      <c r="G187" s="122"/>
    </row>
    <row r="188" spans="1:7">
      <c r="A188" s="130"/>
      <c r="B188" s="123"/>
      <c r="C188" s="159">
        <f>AVERAGE(C190:C190)</f>
        <v>0.30191315149226172</v>
      </c>
      <c r="D188" s="159">
        <f>AVERAGE(D190:D190)</f>
        <v>0.27548454487725227</v>
      </c>
      <c r="E188" s="148">
        <f>AVERAGE(E190:E190)</f>
        <v>3.1541804714704656E-2</v>
      </c>
      <c r="F188" s="149">
        <f>AVERAGE(F190:F190)</f>
        <v>0.215418</v>
      </c>
      <c r="G188" s="98"/>
    </row>
    <row r="189" spans="1:7" ht="45">
      <c r="A189" s="130" t="s">
        <v>168</v>
      </c>
      <c r="B189" s="123"/>
      <c r="C189" s="150" t="s">
        <v>255</v>
      </c>
      <c r="D189" s="150" t="s">
        <v>256</v>
      </c>
      <c r="E189" s="150" t="s">
        <v>171</v>
      </c>
      <c r="F189" s="151" t="s">
        <v>16</v>
      </c>
      <c r="G189" s="152" t="s">
        <v>208</v>
      </c>
    </row>
    <row r="190" spans="1:7">
      <c r="A190" s="130" t="s">
        <v>3</v>
      </c>
      <c r="B190" s="123">
        <v>30</v>
      </c>
      <c r="C190" s="123">
        <f>MatrixExamplesMathematica!BK381</f>
        <v>0.30191315149226172</v>
      </c>
      <c r="D190" s="123">
        <f>MatrixExamplesMathematica!BK384</f>
        <v>0.27548454487725227</v>
      </c>
      <c r="E190" s="132">
        <f>E181</f>
        <v>3.1541804714704656E-2</v>
      </c>
      <c r="F190" s="123">
        <f>F181</f>
        <v>0.215418</v>
      </c>
      <c r="G190" s="98" t="s">
        <v>276</v>
      </c>
    </row>
    <row r="191" spans="1:7">
      <c r="A191" s="130" t="s">
        <v>4</v>
      </c>
      <c r="B191" s="123">
        <v>60</v>
      </c>
      <c r="C191" s="123"/>
      <c r="D191" s="123"/>
      <c r="E191" s="132"/>
      <c r="F191" s="123"/>
      <c r="G191" s="98"/>
    </row>
    <row r="192" spans="1:7">
      <c r="A192" s="130" t="s">
        <v>5</v>
      </c>
      <c r="B192" s="123">
        <v>25</v>
      </c>
      <c r="C192" s="123"/>
      <c r="D192" s="123"/>
      <c r="E192" s="123"/>
      <c r="F192" s="123"/>
      <c r="G192" s="98"/>
    </row>
    <row r="193" spans="1:7" ht="15.75" thickBot="1">
      <c r="A193" s="141" t="s">
        <v>257</v>
      </c>
      <c r="B193" s="158">
        <f>SUM(B190:B192)</f>
        <v>115</v>
      </c>
      <c r="C193" s="126"/>
      <c r="D193" s="126"/>
      <c r="E193" s="126"/>
      <c r="F193" s="126"/>
      <c r="G193" s="127"/>
    </row>
    <row r="194" spans="1:7" ht="15.75" thickTop="1"/>
    <row r="195" spans="1:7" ht="15.75" thickBot="1"/>
    <row r="196" spans="1:7" ht="15.75" thickTop="1">
      <c r="A196" s="128"/>
      <c r="B196" s="121"/>
      <c r="C196" s="121"/>
      <c r="D196" s="121"/>
      <c r="E196" s="178" t="s">
        <v>248</v>
      </c>
      <c r="F196" s="121"/>
      <c r="G196" s="122"/>
    </row>
    <row r="197" spans="1:7">
      <c r="A197" s="130"/>
      <c r="B197" s="123"/>
      <c r="C197" s="159">
        <f>AVERAGE(C199:C199)</f>
        <v>1.274031292162407E-8</v>
      </c>
      <c r="D197" s="159">
        <f>AVERAGE(D199:D199)</f>
        <v>1.4177146835752645E-7</v>
      </c>
      <c r="E197" s="148">
        <f>AVERAGE(E199:E199)</f>
        <v>3.5611080043420368E-2</v>
      </c>
      <c r="F197" s="149">
        <f>AVERAGE(F199:F199)</f>
        <v>0.266762</v>
      </c>
      <c r="G197" s="98"/>
    </row>
    <row r="198" spans="1:7">
      <c r="A198" s="130" t="s">
        <v>168</v>
      </c>
      <c r="B198" s="123"/>
      <c r="C198" s="150" t="s">
        <v>259</v>
      </c>
      <c r="D198" s="150" t="s">
        <v>260</v>
      </c>
      <c r="E198" s="150" t="s">
        <v>171</v>
      </c>
      <c r="F198" s="151" t="s">
        <v>16</v>
      </c>
      <c r="G198" s="152" t="s">
        <v>208</v>
      </c>
    </row>
    <row r="199" spans="1:7">
      <c r="A199" s="130" t="s">
        <v>3</v>
      </c>
      <c r="B199" s="123">
        <v>30</v>
      </c>
      <c r="C199" s="123">
        <f>MatrixExamplesMathematica!BH414</f>
        <v>1.274031292162407E-8</v>
      </c>
      <c r="D199" s="123">
        <f>MatrixExamplesMathematica!BJ414</f>
        <v>1.4177146835752645E-7</v>
      </c>
      <c r="E199" s="132">
        <f>MatrixExamplesMathematica!BN405</f>
        <v>3.5611080043420368E-2</v>
      </c>
      <c r="F199" s="123">
        <f>MatrixExamplesMathematica!BR396</f>
        <v>0.266762</v>
      </c>
      <c r="G199" s="98" t="s">
        <v>277</v>
      </c>
    </row>
    <row r="200" spans="1:7">
      <c r="A200" s="130" t="s">
        <v>4</v>
      </c>
      <c r="B200" s="123">
        <v>60</v>
      </c>
      <c r="C200" s="123"/>
      <c r="D200" s="123"/>
      <c r="E200" s="132"/>
      <c r="F200" s="123"/>
      <c r="G200" s="98"/>
    </row>
    <row r="201" spans="1:7">
      <c r="A201" s="130" t="s">
        <v>5</v>
      </c>
      <c r="B201" s="123">
        <v>25</v>
      </c>
      <c r="C201" s="123"/>
      <c r="D201" s="123"/>
      <c r="E201" s="123"/>
      <c r="F201" s="123"/>
      <c r="G201" s="98"/>
    </row>
    <row r="202" spans="1:7" ht="15.75" thickBot="1">
      <c r="A202" s="141" t="s">
        <v>257</v>
      </c>
      <c r="B202" s="158">
        <f>SUM(B199:B201)</f>
        <v>115</v>
      </c>
      <c r="C202" s="126"/>
      <c r="D202" s="126"/>
      <c r="E202" s="126"/>
      <c r="F202" s="126"/>
      <c r="G202" s="127"/>
    </row>
    <row r="203" spans="1:7" ht="15.75" thickTop="1"/>
    <row r="204" spans="1:7" ht="15.75" thickBot="1"/>
    <row r="205" spans="1:7" ht="15.75" thickTop="1">
      <c r="A205" s="128"/>
      <c r="B205" s="121"/>
      <c r="C205" s="121"/>
      <c r="D205" s="121"/>
      <c r="E205" s="178" t="s">
        <v>248</v>
      </c>
      <c r="F205" s="121"/>
      <c r="G205" s="122"/>
    </row>
    <row r="206" spans="1:7">
      <c r="A206" s="130"/>
      <c r="B206" s="123"/>
      <c r="C206" s="159">
        <f>AVERAGE(C208:C208)</f>
        <v>0.29807084236709569</v>
      </c>
      <c r="D206" s="159">
        <f>AVERAGE(D208:D208)</f>
        <v>0.26754714809105762</v>
      </c>
      <c r="E206" s="148">
        <f>AVERAGE(E208:E208)</f>
        <v>3.5611080043420368E-2</v>
      </c>
      <c r="F206" s="149">
        <f>AVERAGE(F208:F208)</f>
        <v>0.266762</v>
      </c>
      <c r="G206" s="98"/>
    </row>
    <row r="207" spans="1:7" ht="45">
      <c r="A207" s="130" t="s">
        <v>168</v>
      </c>
      <c r="B207" s="123"/>
      <c r="C207" s="150" t="s">
        <v>255</v>
      </c>
      <c r="D207" s="150" t="s">
        <v>256</v>
      </c>
      <c r="E207" s="150" t="s">
        <v>171</v>
      </c>
      <c r="F207" s="151" t="s">
        <v>16</v>
      </c>
      <c r="G207" s="152" t="s">
        <v>208</v>
      </c>
    </row>
    <row r="208" spans="1:7">
      <c r="A208" s="130" t="s">
        <v>3</v>
      </c>
      <c r="B208" s="123">
        <v>30</v>
      </c>
      <c r="C208" s="123">
        <f>MatrixExamplesMathematica!BK411</f>
        <v>0.29807084236709569</v>
      </c>
      <c r="D208" s="123">
        <f>MatrixExamplesMathematica!BK414</f>
        <v>0.26754714809105762</v>
      </c>
      <c r="E208" s="132">
        <f>E199</f>
        <v>3.5611080043420368E-2</v>
      </c>
      <c r="F208" s="123">
        <f>F199</f>
        <v>0.266762</v>
      </c>
      <c r="G208" s="98" t="s">
        <v>277</v>
      </c>
    </row>
    <row r="209" spans="1:24">
      <c r="A209" s="130" t="s">
        <v>4</v>
      </c>
      <c r="B209" s="123">
        <v>60</v>
      </c>
      <c r="C209" s="123"/>
      <c r="D209" s="123"/>
      <c r="E209" s="132"/>
      <c r="F209" s="123"/>
      <c r="G209" s="98"/>
    </row>
    <row r="210" spans="1:24">
      <c r="A210" s="130" t="s">
        <v>5</v>
      </c>
      <c r="B210" s="123">
        <v>25</v>
      </c>
      <c r="C210" s="123"/>
      <c r="D210" s="123"/>
      <c r="E210" s="123"/>
      <c r="F210" s="123"/>
      <c r="G210" s="98"/>
      <c r="X210" t="s">
        <v>446</v>
      </c>
    </row>
    <row r="211" spans="1:24" ht="15.75" thickBot="1">
      <c r="A211" s="141" t="s">
        <v>257</v>
      </c>
      <c r="B211" s="158">
        <f>SUM(B208:B210)</f>
        <v>115</v>
      </c>
      <c r="C211" s="126"/>
      <c r="D211" s="126"/>
      <c r="E211" s="126"/>
      <c r="F211" s="126"/>
      <c r="G211" s="127"/>
      <c r="X211" t="s">
        <v>453</v>
      </c>
    </row>
    <row r="212" spans="1:24" ht="16.5" thickTop="1" thickBot="1"/>
    <row r="213" spans="1:24" ht="15.75" thickTop="1">
      <c r="A213" s="1"/>
      <c r="B213" s="2"/>
      <c r="C213" s="2"/>
      <c r="D213" s="2"/>
      <c r="E213" s="313" t="s">
        <v>396</v>
      </c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3"/>
    </row>
    <row r="214" spans="1:24" ht="100.5" customHeight="1">
      <c r="A214" s="314" t="s">
        <v>411</v>
      </c>
      <c r="B214" s="315" t="s">
        <v>255</v>
      </c>
      <c r="C214" s="315" t="s">
        <v>256</v>
      </c>
      <c r="D214" s="315" t="s">
        <v>259</v>
      </c>
      <c r="E214" s="315" t="s">
        <v>260</v>
      </c>
      <c r="F214" s="315" t="s">
        <v>171</v>
      </c>
      <c r="G214" s="316" t="s">
        <v>16</v>
      </c>
      <c r="H214" s="315" t="s">
        <v>208</v>
      </c>
      <c r="I214" s="5"/>
      <c r="J214" s="317" t="s">
        <v>6</v>
      </c>
      <c r="K214" s="317" t="s">
        <v>439</v>
      </c>
      <c r="L214" s="317" t="s">
        <v>172</v>
      </c>
      <c r="M214" s="317" t="s">
        <v>440</v>
      </c>
      <c r="N214" s="317" t="s">
        <v>443</v>
      </c>
      <c r="O214" s="317" t="s">
        <v>448</v>
      </c>
      <c r="P214" s="317" t="s">
        <v>447</v>
      </c>
      <c r="Q214" s="317" t="s">
        <v>450</v>
      </c>
      <c r="R214" s="315" t="s">
        <v>411</v>
      </c>
      <c r="S214" s="315" t="s">
        <v>208</v>
      </c>
      <c r="T214" s="317" t="s">
        <v>451</v>
      </c>
      <c r="U214" s="318" t="s">
        <v>452</v>
      </c>
    </row>
    <row r="215" spans="1:24">
      <c r="A215" s="4">
        <v>22</v>
      </c>
      <c r="B215" s="5">
        <f>MatrixExamplesMathematica!E620</f>
        <v>4.0349779080404886</v>
      </c>
      <c r="C215" s="5">
        <f>MatrixExamplesMathematica!E623</f>
        <v>3.9231009613869645</v>
      </c>
      <c r="D215" s="5">
        <f>MatrixExamplesMathematica!B623</f>
        <v>7.8745112331575271E-6</v>
      </c>
      <c r="E215" s="5">
        <f>MatrixExamplesMathematica!D623</f>
        <v>2.0751836024292583E-12</v>
      </c>
      <c r="F215" s="319">
        <f>MatrixExamplesMathematica!H614</f>
        <v>4.4478081516010869E-3</v>
      </c>
      <c r="G215" s="5">
        <f>MatrixExamplesMathematica!L605</f>
        <v>3.3272061334878818E-2</v>
      </c>
      <c r="H215" s="320" t="s">
        <v>407</v>
      </c>
      <c r="I215" s="5">
        <f>LOG10(B215)</f>
        <v>0.60584116125328735</v>
      </c>
      <c r="J215" s="5">
        <f>MatrixExamplesMathematica!E609</f>
        <v>69800.897299999982</v>
      </c>
      <c r="K215" s="5">
        <f>LOG10(J215)</f>
        <v>4.8438610055735021</v>
      </c>
      <c r="L215" s="5">
        <f>MatrixExamplesMathematica!G609</f>
        <v>7.6759413661083276</v>
      </c>
      <c r="M215" s="5">
        <f>LOG10(L215)</f>
        <v>0.88513164864904326</v>
      </c>
      <c r="N215" s="5">
        <f>B215/L215</f>
        <v>0.52566554583860858</v>
      </c>
      <c r="O215" s="5">
        <f>LOG10(N215)</f>
        <v>-0.2792904873957559</v>
      </c>
      <c r="P215" s="319">
        <f>MatrixExamplesMathematica!D626</f>
        <v>9.5714688675149952E-3</v>
      </c>
      <c r="Q215" s="5">
        <f>MatrixExamplesMathematica!F620</f>
        <v>0.25902223878310549</v>
      </c>
      <c r="R215" s="5">
        <v>22</v>
      </c>
      <c r="S215" s="320" t="s">
        <v>407</v>
      </c>
      <c r="T215" s="5">
        <f>LOG10(Q215)</f>
        <v>-0.58666294724629431</v>
      </c>
      <c r="U215" s="321">
        <f>MatrixExamplesMathematica!D627</f>
        <v>1.6703338895698361E-2</v>
      </c>
    </row>
    <row r="216" spans="1:24">
      <c r="A216" s="4">
        <v>115</v>
      </c>
      <c r="B216" s="5">
        <f>MatrixExamplesMathematica!BK501</f>
        <v>1.3065794944675559</v>
      </c>
      <c r="C216" s="5">
        <f>MatrixExamplesMathematica!BK504</f>
        <v>1.3181115362566089</v>
      </c>
      <c r="D216" s="5">
        <f>MatrixExamplesMathematica!BH504</f>
        <v>4.2920147344763494E-7</v>
      </c>
      <c r="E216" s="5">
        <f>MatrixExamplesMathematica!BJ504</f>
        <v>4.2166417751205965E-13</v>
      </c>
      <c r="F216" s="319">
        <f>MatrixExamplesMathematica!BN495</f>
        <v>6.8919696711725372E-3</v>
      </c>
      <c r="G216" s="5">
        <f>MatrixExamplesMathematica!BR486</f>
        <v>2.8201899999999998E-2</v>
      </c>
      <c r="H216" s="320" t="s">
        <v>408</v>
      </c>
      <c r="I216" s="5">
        <f t="shared" ref="I216:I222" si="14">LOG10(B216)</f>
        <v>0.11613583806512864</v>
      </c>
      <c r="J216" s="5">
        <f>MatrixExamplesMathematica!BK490</f>
        <v>672535.46100000001</v>
      </c>
      <c r="K216" s="5">
        <f t="shared" ref="K216:M222" si="15">LOG10(J216)</f>
        <v>5.8277151884671614</v>
      </c>
      <c r="L216" s="5">
        <f>MatrixExamplesMathematica!BM490</f>
        <v>9.7763916323512987</v>
      </c>
      <c r="M216" s="5">
        <f t="shared" si="15"/>
        <v>0.99017859064422031</v>
      </c>
      <c r="N216" s="5">
        <f t="shared" ref="N216:N219" si="16">B216/L216</f>
        <v>0.13364639466200612</v>
      </c>
      <c r="O216" s="5">
        <f t="shared" ref="O216" si="17">LOG10(N216)</f>
        <v>-0.8740427525790917</v>
      </c>
      <c r="P216" s="319">
        <f>MatrixExamplesMathematica!BJ507</f>
        <v>6.8185635111683643E-3</v>
      </c>
      <c r="Q216" s="5">
        <f>MatrixExamplesMathematica!BL501</f>
        <v>0.12457617075421043</v>
      </c>
      <c r="R216" s="5">
        <v>115</v>
      </c>
      <c r="S216" s="320" t="s">
        <v>408</v>
      </c>
      <c r="T216" s="5">
        <f t="shared" ref="T216:T222" si="18">LOG10(Q216)</f>
        <v>-0.90456502268225925</v>
      </c>
      <c r="U216" s="321">
        <f>MatrixExamplesMathematica!BJ508</f>
        <v>6.7454417991853251E-3</v>
      </c>
    </row>
    <row r="217" spans="1:24">
      <c r="A217" s="4">
        <v>205</v>
      </c>
      <c r="B217" s="5">
        <f>MatrixExamplesMathematica!DI18</f>
        <v>0.58420273019874003</v>
      </c>
      <c r="C217" s="5">
        <f>MatrixExamplesMathematica!DI21</f>
        <v>0.58129031450675939</v>
      </c>
      <c r="D217" s="5">
        <f>MatrixExamplesMathematica!DF21</f>
        <v>2.4854673045059312E-8</v>
      </c>
      <c r="E217" s="5">
        <f>MatrixExamplesMathematica!DH21</f>
        <v>1.1699234725064205E-12</v>
      </c>
      <c r="F217" s="319">
        <f>MatrixExamplesMathematica!DL12</f>
        <v>2.5251368399490837E-3</v>
      </c>
      <c r="G217" s="5">
        <f>MatrixExamplesMathematica!DP3</f>
        <v>2.9866500000000001E-2</v>
      </c>
      <c r="H217" s="320" t="s">
        <v>409</v>
      </c>
      <c r="I217" s="5">
        <f t="shared" si="14"/>
        <v>-0.23343641773652477</v>
      </c>
      <c r="J217" s="5">
        <f>MatrixExamplesMathematica!DI7</f>
        <v>1769211.0499999998</v>
      </c>
      <c r="K217" s="5">
        <f t="shared" si="15"/>
        <v>6.2477796431885446</v>
      </c>
      <c r="L217" s="5">
        <f>MatrixExamplesMathematica!DK7</f>
        <v>12.601447996041562</v>
      </c>
      <c r="M217" s="5">
        <f t="shared" si="15"/>
        <v>1.1004204515111526</v>
      </c>
      <c r="N217" s="5">
        <f t="shared" si="16"/>
        <v>4.6359968345086461E-2</v>
      </c>
      <c r="O217" s="5">
        <f t="shared" ref="O217" si="19">LOG10(N217)</f>
        <v>-1.3338568692476773</v>
      </c>
      <c r="P217" s="319">
        <f>MatrixExamplesMathematica!DH24</f>
        <v>3.0179144807257032E-3</v>
      </c>
      <c r="Q217" s="5">
        <f>MatrixExamplesMathematica!DJ18</f>
        <v>5.8003605733959865E-2</v>
      </c>
      <c r="R217" s="5">
        <v>205</v>
      </c>
      <c r="S217" s="320" t="s">
        <v>409</v>
      </c>
      <c r="T217" s="5">
        <f t="shared" si="18"/>
        <v>-1.236545008132095</v>
      </c>
      <c r="U217" s="321">
        <f>MatrixExamplesMathematica!DH25</f>
        <v>2.1013185774073229E-3</v>
      </c>
    </row>
    <row r="218" spans="1:24">
      <c r="A218" s="4">
        <v>325</v>
      </c>
      <c r="B218" s="5">
        <f>MatrixExamplesMathematica!DU18</f>
        <v>1.6125033193521432E-2</v>
      </c>
      <c r="C218" s="5">
        <f>MatrixExamplesMathematica!DU21</f>
        <v>1.6341255838593582E-2</v>
      </c>
      <c r="D218" s="5">
        <f>MatrixExamplesMathematica!DR21</f>
        <v>5.748861404289295E-8</v>
      </c>
      <c r="E218" s="5">
        <f>MatrixExamplesMathematica!DT21</f>
        <v>2.5764263536724316E-12</v>
      </c>
      <c r="F218" s="319">
        <f>MatrixExamplesMathematica!DX12</f>
        <v>1.9250194006718651E-3</v>
      </c>
      <c r="G218" s="5">
        <f>MatrixExamplesMathematica!EB3</f>
        <v>8.6460999999999996E-2</v>
      </c>
      <c r="H218" s="320" t="s">
        <v>410</v>
      </c>
      <c r="I218" s="5">
        <f t="shared" si="14"/>
        <v>-1.7924993826927966</v>
      </c>
      <c r="J218" s="5">
        <f>MatrixExamplesMathematica!DU7</f>
        <v>447574.71</v>
      </c>
      <c r="K218" s="5">
        <f t="shared" si="15"/>
        <v>5.6508655389426732</v>
      </c>
      <c r="L218" s="5">
        <f>MatrixExamplesMathematica!DW7</f>
        <v>4.1551761392904032</v>
      </c>
      <c r="M218" s="5">
        <f t="shared" si="15"/>
        <v>0.61858943839702352</v>
      </c>
      <c r="N218" s="5">
        <f t="shared" si="16"/>
        <v>3.8807099032569944E-3</v>
      </c>
      <c r="O218" s="5">
        <f t="shared" ref="O218" si="20">LOG10(N218)</f>
        <v>-2.41108882108982</v>
      </c>
      <c r="P218" s="319">
        <f>MatrixExamplesMathematica!DT24</f>
        <v>2.7182771454184644E-3</v>
      </c>
      <c r="Q218" s="5">
        <f>MatrixExamplesMathematica!DV18</f>
        <v>3.0487117774333224E-2</v>
      </c>
      <c r="R218" s="5">
        <v>325</v>
      </c>
      <c r="S218" s="320" t="s">
        <v>410</v>
      </c>
      <c r="T218" s="5">
        <f t="shared" si="18"/>
        <v>-1.5158836315175244</v>
      </c>
      <c r="U218" s="321">
        <f>MatrixExamplesMathematica!DT25</f>
        <v>4.8544920537493983E-3</v>
      </c>
    </row>
    <row r="219" spans="1:24">
      <c r="A219" s="33">
        <v>435</v>
      </c>
      <c r="B219" s="5">
        <f>MatrixExamplesMathematica!EG18</f>
        <v>3.4319915973679116E-2</v>
      </c>
      <c r="C219" s="5">
        <f>MatrixExamplesMathematica!EG21</f>
        <v>3.4094175205449773E-2</v>
      </c>
      <c r="D219" s="5">
        <f>MatrixExamplesMathematica!ED21</f>
        <v>9.2601072178314073E-10</v>
      </c>
      <c r="E219" s="5">
        <f>MatrixExamplesMathematica!EF21</f>
        <v>1.1535449977538878E-12</v>
      </c>
      <c r="F219" s="319">
        <f>MatrixExamplesMathematica!EJ12</f>
        <v>3.7371747756616831E-3</v>
      </c>
      <c r="G219" s="5">
        <f>MatrixExamplesMathematica!EN3</f>
        <v>7.5410099999999994E-2</v>
      </c>
      <c r="H219" s="320" t="s">
        <v>412</v>
      </c>
      <c r="I219" s="5">
        <f t="shared" si="14"/>
        <v>-1.4644537841162275</v>
      </c>
      <c r="J219" s="5">
        <f>MatrixExamplesMathematica!EG7</f>
        <v>613594.53</v>
      </c>
      <c r="K219" s="5">
        <f t="shared" si="15"/>
        <v>5.7878814793610598</v>
      </c>
      <c r="L219" s="5">
        <f>MatrixExamplesMathematica!EI7</f>
        <v>4.30467706394254</v>
      </c>
      <c r="M219" s="5">
        <f t="shared" si="15"/>
        <v>0.63394057632199163</v>
      </c>
      <c r="N219" s="5">
        <f t="shared" si="16"/>
        <v>7.9727039831058565E-3</v>
      </c>
      <c r="O219" s="5">
        <f t="shared" ref="O219" si="21">LOG10(N219)</f>
        <v>-2.0983943604382191</v>
      </c>
      <c r="P219" s="319">
        <f>MatrixExamplesMathematica!EF24</f>
        <v>4.9920398192032141E-3</v>
      </c>
      <c r="Q219" s="5">
        <f>MatrixExamplesMathematica!EH18</f>
        <v>4.1731337386871903E-2</v>
      </c>
      <c r="R219" s="322">
        <v>435</v>
      </c>
      <c r="S219" s="320" t="s">
        <v>412</v>
      </c>
      <c r="T219" s="5">
        <f t="shared" si="18"/>
        <v>-1.3795376969937401</v>
      </c>
      <c r="U219" s="321">
        <f>MatrixExamplesMathematica!EF25</f>
        <v>2.1337620343813016E-3</v>
      </c>
    </row>
    <row r="220" spans="1:24">
      <c r="A220" s="33">
        <v>650</v>
      </c>
      <c r="B220" s="5">
        <f>MatrixExamplesMathematica!ES18</f>
        <v>2.6247597505575371E-3</v>
      </c>
      <c r="C220" s="5">
        <f>MatrixExamplesMathematica!ES21</f>
        <v>2.6065102181931366E-3</v>
      </c>
      <c r="D220" s="5">
        <f>MatrixExamplesMathematica!EP21</f>
        <v>4.8615118351929201E-9</v>
      </c>
      <c r="E220" s="5">
        <f>MatrixExamplesMathematica!ER21</f>
        <v>1.2135558019752475E-12</v>
      </c>
      <c r="F220" s="319">
        <f>MatrixExamplesMathematica!EV12</f>
        <v>2.0942526881295811E-3</v>
      </c>
      <c r="G220" s="5">
        <f>MatrixExamplesMathematica!EZ3</f>
        <v>9.8607899999999998E-2</v>
      </c>
      <c r="H220" s="320" t="s">
        <v>413</v>
      </c>
      <c r="I220" s="5">
        <f t="shared" si="14"/>
        <v>-2.5809104422702811</v>
      </c>
      <c r="J220" s="5">
        <f>MatrixExamplesMathematica!ES7</f>
        <v>346376.54</v>
      </c>
      <c r="K220" s="5">
        <f t="shared" si="15"/>
        <v>5.5395484696802635</v>
      </c>
      <c r="L220" s="5">
        <f>MatrixExamplesMathematica!EU7</f>
        <v>2.2053916837195602</v>
      </c>
      <c r="M220" s="5">
        <f t="shared" si="15"/>
        <v>0.34348573256644455</v>
      </c>
      <c r="N220" s="5">
        <f>B220/L220</f>
        <v>1.1901558212692091E-3</v>
      </c>
      <c r="O220" s="5">
        <f>LOG10(N220)</f>
        <v>-2.9243961748367258</v>
      </c>
      <c r="P220" s="319">
        <f>MatrixExamplesMathematica!ER24</f>
        <v>3.4479741531560893E-3</v>
      </c>
      <c r="Q220" s="5">
        <f>MatrixExamplesMathematica!ET18</f>
        <v>2.3416279969153853E-2</v>
      </c>
      <c r="R220" s="322">
        <v>650</v>
      </c>
      <c r="S220" s="320" t="s">
        <v>413</v>
      </c>
      <c r="T220" s="5">
        <f t="shared" si="18"/>
        <v>-1.6304820980421604</v>
      </c>
      <c r="U220" s="321">
        <f>MatrixExamplesMathematica!ER25</f>
        <v>4.0258316071646628E-3</v>
      </c>
    </row>
    <row r="221" spans="1:24">
      <c r="A221" s="33">
        <v>3400</v>
      </c>
      <c r="B221" s="5">
        <f>MatrixExamplesMathematica!FE258</f>
        <v>1.4512932609482593E-3</v>
      </c>
      <c r="C221" s="5">
        <f>MatrixExamplesMathematica!FE261</f>
        <v>1.4612964315477062E-3</v>
      </c>
      <c r="D221" s="5">
        <f>MatrixExamplesMathematica!FB261</f>
        <v>9.1661477705642154E-10</v>
      </c>
      <c r="E221" s="5">
        <f>MatrixExamplesMathematica!FD261</f>
        <v>3.7567152059615826E-12</v>
      </c>
      <c r="F221" s="319">
        <f>MatrixExamplesMathematica!FH252</f>
        <v>9.12399750855415E-4</v>
      </c>
      <c r="G221" s="5">
        <f>MatrixExamplesMathematica!FL243</f>
        <v>9.2153399999999996E-2</v>
      </c>
      <c r="H221" s="5" t="str">
        <f>MatrixExamplesMathematica!FI241</f>
        <v>TransformationMATRIXbig10</v>
      </c>
      <c r="I221" s="5">
        <f>LOG10(B221)</f>
        <v>-2.8382448213714842</v>
      </c>
      <c r="J221" s="5">
        <f>MatrixExamplesMathematica!FE247</f>
        <v>4659142</v>
      </c>
      <c r="K221" s="5">
        <f>LOG10(J221)</f>
        <v>6.668305946953188</v>
      </c>
      <c r="L221" s="5">
        <f>MatrixExamplesMathematica!FG248</f>
        <v>4.5641225248976918</v>
      </c>
      <c r="M221" s="5">
        <f>LOG10(L221)</f>
        <v>0.65935729463590409</v>
      </c>
      <c r="N221" s="5">
        <f>B221/L221</f>
        <v>3.1797859348238927E-4</v>
      </c>
      <c r="O221" s="5">
        <f>LOG10(N221)</f>
        <v>-3.4976021160073882</v>
      </c>
      <c r="P221" s="319">
        <f>MatrixExamplesMathematica!FD264</f>
        <v>1.1803837893959589E-3</v>
      </c>
      <c r="Q221" s="5">
        <f>MatrixExamplesMathematica!FF258</f>
        <v>8.3468055217502876E-3</v>
      </c>
      <c r="R221" s="322">
        <v>3400</v>
      </c>
      <c r="S221" s="5" t="str">
        <f>H221</f>
        <v>TransformationMATRIXbig10</v>
      </c>
      <c r="T221" s="5">
        <f>LOG10(Q221)</f>
        <v>-2.0784797053216462</v>
      </c>
      <c r="U221" s="321">
        <f>MatrixExamplesMathematica!FD265</f>
        <v>1.2587523980358614E-3</v>
      </c>
    </row>
    <row r="222" spans="1:24" ht="15.75" thickBot="1">
      <c r="A222" s="34">
        <v>3400</v>
      </c>
      <c r="B222" s="8">
        <f>MatrixExamplesMathematica!FE228</f>
        <v>1.007336909659559E-3</v>
      </c>
      <c r="C222" s="8">
        <f>MatrixExamplesMathematica!FE231</f>
        <v>1.014923470016393E-3</v>
      </c>
      <c r="D222" s="8">
        <f>MatrixExamplesMathematica!FB231</f>
        <v>2.6471426918535759E-10</v>
      </c>
      <c r="E222" s="8">
        <f>MatrixExamplesMathematica!FD231</f>
        <v>1.108723813000445E-12</v>
      </c>
      <c r="F222" s="323">
        <f>MatrixExamplesMathematica!FH222</f>
        <v>9.6610370459593366E-5</v>
      </c>
      <c r="G222" s="8">
        <f>MatrixExamplesMathematica!FL213</f>
        <v>0.19975899999999999</v>
      </c>
      <c r="H222" s="8" t="str">
        <f>MatrixExamplesMathematica!FI211</f>
        <v>TransformationMATRIXbig9</v>
      </c>
      <c r="I222" s="8">
        <f t="shared" si="14"/>
        <v>-2.9968252528477066</v>
      </c>
      <c r="J222" s="8">
        <f>MatrixExamplesMathematica!FE217</f>
        <v>1197594</v>
      </c>
      <c r="K222" s="8">
        <f t="shared" si="15"/>
        <v>6.078309611505488</v>
      </c>
      <c r="L222" s="8">
        <f>MatrixExamplesMathematica!FG218</f>
        <v>1.4665873119379116</v>
      </c>
      <c r="M222" s="8">
        <f t="shared" si="15"/>
        <v>0.16630792341208925</v>
      </c>
      <c r="N222" s="8">
        <f>B222/L222</f>
        <v>6.8685778300406081E-4</v>
      </c>
      <c r="O222" s="8">
        <f>LOG10(N222)</f>
        <v>-3.1631331762597958</v>
      </c>
      <c r="P222" s="323">
        <f>MatrixExamplesMathematica!FD234</f>
        <v>1.8160722393179639E-4</v>
      </c>
      <c r="Q222" s="8">
        <f>MatrixExamplesMathematica!FF228</f>
        <v>2.1641105896111561E-2</v>
      </c>
      <c r="R222" s="324">
        <v>3400</v>
      </c>
      <c r="S222" s="8" t="str">
        <f>H222</f>
        <v>TransformationMATRIXbig9</v>
      </c>
      <c r="T222" s="8">
        <f t="shared" si="18"/>
        <v>-1.6647205498359425</v>
      </c>
      <c r="U222" s="325">
        <f>MatrixExamplesMathematica!FD235</f>
        <v>4.4727309317770178E-3</v>
      </c>
    </row>
    <row r="223" spans="1:24" ht="15.75" thickTop="1"/>
    <row r="224" spans="1:24" ht="15.75" thickBot="1"/>
    <row r="225" spans="1:15" ht="15.75" thickTop="1">
      <c r="A225" s="1"/>
      <c r="B225" s="2"/>
      <c r="C225" s="2"/>
      <c r="D225" s="2"/>
      <c r="E225" s="313" t="s">
        <v>423</v>
      </c>
      <c r="F225" s="2"/>
      <c r="G225" s="2"/>
      <c r="H225" s="2"/>
      <c r="I225" s="2"/>
      <c r="J225" s="2"/>
      <c r="K225" s="2"/>
      <c r="L225" s="2"/>
      <c r="M225" s="2"/>
      <c r="N225" s="2"/>
      <c r="O225" s="3"/>
    </row>
    <row r="226" spans="1:15" ht="150">
      <c r="A226" s="314" t="s">
        <v>411</v>
      </c>
      <c r="B226" s="315" t="s">
        <v>255</v>
      </c>
      <c r="C226" s="315" t="s">
        <v>256</v>
      </c>
      <c r="D226" s="315" t="s">
        <v>259</v>
      </c>
      <c r="E226" s="315" t="s">
        <v>260</v>
      </c>
      <c r="F226" s="315" t="s">
        <v>171</v>
      </c>
      <c r="G226" s="316" t="s">
        <v>16</v>
      </c>
      <c r="H226" s="315" t="s">
        <v>208</v>
      </c>
      <c r="I226" s="317" t="s">
        <v>450</v>
      </c>
      <c r="J226" s="317" t="s">
        <v>6</v>
      </c>
      <c r="K226" s="317" t="s">
        <v>439</v>
      </c>
      <c r="L226" s="317" t="s">
        <v>172</v>
      </c>
      <c r="M226" s="317" t="s">
        <v>440</v>
      </c>
      <c r="N226" s="317" t="s">
        <v>447</v>
      </c>
      <c r="O226" s="318" t="s">
        <v>452</v>
      </c>
    </row>
    <row r="227" spans="1:15">
      <c r="A227" s="314"/>
      <c r="B227" s="315"/>
      <c r="C227" s="315"/>
      <c r="D227" s="315"/>
      <c r="E227" s="315"/>
      <c r="F227" s="315"/>
      <c r="G227" s="316"/>
      <c r="H227" s="315"/>
      <c r="I227" s="5"/>
      <c r="J227" s="5"/>
      <c r="K227" s="5"/>
      <c r="L227" s="5"/>
      <c r="M227" s="5"/>
      <c r="N227" s="5"/>
      <c r="O227" s="6"/>
    </row>
    <row r="228" spans="1:1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6"/>
    </row>
    <row r="229" spans="1:1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6"/>
    </row>
    <row r="230" spans="1:15">
      <c r="A230" s="4">
        <v>22</v>
      </c>
      <c r="B230" s="5">
        <f>MatrixExamplesMathematica!E710</f>
        <v>27.442765470447739</v>
      </c>
      <c r="C230" s="5">
        <f>MatrixExamplesMathematica!E713</f>
        <v>27.44201205423451</v>
      </c>
      <c r="D230" s="5">
        <f>MatrixExamplesMathematica!B713</f>
        <v>7.2154660107324469E-7</v>
      </c>
      <c r="E230" s="5">
        <f>MatrixExamplesMathematica!D713</f>
        <v>1.5973494606393925E-12</v>
      </c>
      <c r="F230" s="319">
        <f>MatrixExamplesMathematica!H704</f>
        <v>4.5719988554539567E-3</v>
      </c>
      <c r="G230" s="5">
        <f>MatrixExamplesMathematica!L695</f>
        <v>9.27213E-3</v>
      </c>
      <c r="H230" s="320" t="s">
        <v>434</v>
      </c>
      <c r="I230" s="5">
        <f>MatrixExamplesMathematica!F710</f>
        <v>0.21720659599070097</v>
      </c>
      <c r="J230" s="5">
        <f>MatrixExamplesMathematica!E699</f>
        <v>1179674.8360000001</v>
      </c>
      <c r="K230" s="5">
        <f>LOG10(J230)</f>
        <v>6.0717623154488809</v>
      </c>
      <c r="L230" s="5">
        <f>MatrixExamplesMathematica!G700</f>
        <v>24.11797982616601</v>
      </c>
      <c r="M230" s="5">
        <f>LOG10(L230)</f>
        <v>1.3823409275521958</v>
      </c>
      <c r="N230" s="319">
        <f>MatrixExamplesMathematica!D716</f>
        <v>3.2594569586615555E-3</v>
      </c>
      <c r="O230" s="321">
        <f>MatrixExamplesMathematica!D717</f>
        <v>4.4374897820958969E-3</v>
      </c>
    </row>
    <row r="231" spans="1:15">
      <c r="A231" s="4">
        <v>22</v>
      </c>
      <c r="B231" s="5">
        <f>MatrixExamplesMathematica!E770</f>
        <v>70.291930190606081</v>
      </c>
      <c r="C231" s="5">
        <f>MatrixExamplesMathematica!E773</f>
        <v>66.881300779272976</v>
      </c>
      <c r="D231" s="5">
        <f>MatrixExamplesMathematica!B773</f>
        <v>1.4901403229467686E-6</v>
      </c>
      <c r="E231" s="5">
        <f>MatrixExamplesMathematica!D773</f>
        <v>1.1198569944178364E-12</v>
      </c>
      <c r="F231" s="319">
        <f>MatrixExamplesMathematica!H764</f>
        <v>1.6813658039521808E-2</v>
      </c>
      <c r="G231" s="5">
        <f>MatrixExamplesMathematica!L755</f>
        <v>3.93055E-2</v>
      </c>
      <c r="H231" s="320" t="s">
        <v>436</v>
      </c>
      <c r="I231" s="5">
        <f>MatrixExamplesMathematica!F770</f>
        <v>0.54107261617205304</v>
      </c>
      <c r="J231" s="5">
        <f>MatrixExamplesMathematica!E759</f>
        <v>203073.59599999999</v>
      </c>
      <c r="K231" s="5">
        <f t="shared" ref="K231:K250" si="22">LOG10(J231)</f>
        <v>5.3076534593134461</v>
      </c>
      <c r="L231" s="5">
        <f>MatrixExamplesMathematica!G760</f>
        <v>15.495199773302394</v>
      </c>
      <c r="M231" s="5">
        <f t="shared" ref="M231:M250" si="23">LOG10(L231)</f>
        <v>1.1901971797933448</v>
      </c>
      <c r="N231" s="319">
        <f>MatrixExamplesMathematica!D776</f>
        <v>1.7557959509698649E-2</v>
      </c>
      <c r="O231" s="321">
        <f>MatrixExamplesMathematica!D777</f>
        <v>7.9456065907341899E-3</v>
      </c>
    </row>
    <row r="232" spans="1:15">
      <c r="A232" s="4">
        <v>22</v>
      </c>
      <c r="B232" s="5">
        <f>MatrixExamplesMathematica!E740</f>
        <v>52.321230410818458</v>
      </c>
      <c r="C232" s="5">
        <f>MatrixExamplesMathematica!E743</f>
        <v>49.738754330827845</v>
      </c>
      <c r="D232" s="5">
        <f>MatrixExamplesMathematica!B743</f>
        <v>6.774193915255939E-7</v>
      </c>
      <c r="E232" s="5">
        <f>MatrixExamplesMathematica!D743</f>
        <v>1.5944698590439959E-12</v>
      </c>
      <c r="F232" s="319">
        <f>MatrixExamplesMathematica!H734</f>
        <v>2.7493073869163165E-2</v>
      </c>
      <c r="G232" s="5">
        <f>MatrixExamplesMathematica!L725</f>
        <v>4.4921500000000003E-2</v>
      </c>
      <c r="H232" s="320" t="s">
        <v>435</v>
      </c>
      <c r="I232" s="5">
        <f>MatrixExamplesMathematica!F740</f>
        <v>0.64258956074331419</v>
      </c>
      <c r="J232" s="5">
        <f>MatrixExamplesMathematica!E729</f>
        <v>110110.93610000001</v>
      </c>
      <c r="K232" s="5">
        <f t="shared" si="22"/>
        <v>5.0418304547757362</v>
      </c>
      <c r="L232" s="5">
        <f>MatrixExamplesMathematica!G730</f>
        <v>11.256550093165268</v>
      </c>
      <c r="M232" s="5">
        <f t="shared" si="23"/>
        <v>1.051405308359586</v>
      </c>
      <c r="N232" s="319">
        <f>MatrixExamplesMathematica!D746</f>
        <v>3.337540904169093E-2</v>
      </c>
      <c r="O232" s="321">
        <f>MatrixExamplesMathematica!D747</f>
        <v>7.5758476036554209E-3</v>
      </c>
    </row>
    <row r="233" spans="1:15">
      <c r="A233" s="4">
        <v>22</v>
      </c>
      <c r="B233" s="5">
        <f>MatrixExamplesMathematica!E650</f>
        <v>1.0026362756784284</v>
      </c>
      <c r="C233" s="5">
        <f>MatrixExamplesMathematica!E653</f>
        <v>0.91369345913357058</v>
      </c>
      <c r="D233" s="5">
        <f>MatrixExamplesMathematica!B653</f>
        <v>3.3715369457618616E-6</v>
      </c>
      <c r="E233" s="5">
        <f>MatrixExamplesMathematica!D653</f>
        <v>7.8651825986827768E-12</v>
      </c>
      <c r="F233" s="319">
        <f>MatrixExamplesMathematica!H644</f>
        <v>2.5547566047710434E-2</v>
      </c>
      <c r="G233" s="5">
        <f>MatrixExamplesMathematica!L635</f>
        <v>0.106529</v>
      </c>
      <c r="H233" s="320" t="s">
        <v>414</v>
      </c>
      <c r="I233" s="5">
        <f>MatrixExamplesMathematica!F650</f>
        <v>0.52111909794621092</v>
      </c>
      <c r="J233" s="5">
        <f>MatrixExamplesMathematica!E639</f>
        <v>11351.4571</v>
      </c>
      <c r="K233" s="5">
        <f t="shared" si="22"/>
        <v>4.0550516121787723</v>
      </c>
      <c r="L233" s="5">
        <f>MatrixExamplesMathematica!G640</f>
        <v>1.9214749069551997</v>
      </c>
      <c r="M233" s="5">
        <f t="shared" si="23"/>
        <v>0.28363471727184869</v>
      </c>
      <c r="N233" s="319">
        <f>MatrixExamplesMathematica!D656</f>
        <v>4.6616956453580688E-2</v>
      </c>
      <c r="O233" s="321">
        <f>MatrixExamplesMathematica!D657</f>
        <v>8.2755520440267415E-4</v>
      </c>
    </row>
    <row r="234" spans="1:15">
      <c r="A234" s="4">
        <v>22</v>
      </c>
      <c r="B234" s="5">
        <f>MatrixExamplesMathematica!E680</f>
        <v>0.32263188675532284</v>
      </c>
      <c r="C234" s="5">
        <f>MatrixExamplesMathematica!E683</f>
        <v>0.30614665158106114</v>
      </c>
      <c r="D234" s="5">
        <f>MatrixExamplesMathematica!B683</f>
        <v>1.7701149275463424E-6</v>
      </c>
      <c r="E234" s="5">
        <f>MatrixExamplesMathematica!D683</f>
        <v>1.6124711088026242E-12</v>
      </c>
      <c r="F234" s="319">
        <f>MatrixExamplesMathematica!H674</f>
        <v>6.9566501861339294E-3</v>
      </c>
      <c r="G234" s="5">
        <f>MatrixExamplesMathematica!L665</f>
        <v>0.117753</v>
      </c>
      <c r="H234" s="320" t="s">
        <v>433</v>
      </c>
      <c r="I234" s="5">
        <f>MatrixExamplesMathematica!F680</f>
        <v>0.2283232613582826</v>
      </c>
      <c r="J234" s="5">
        <f>MatrixExamplesMathematica!E669</f>
        <v>17601.575000000001</v>
      </c>
      <c r="K234" s="5">
        <f t="shared" si="22"/>
        <v>4.2455515304962574</v>
      </c>
      <c r="L234" s="5">
        <f>MatrixExamplesMathematica!G670</f>
        <v>2.4877313820100269</v>
      </c>
      <c r="M234" s="5">
        <f t="shared" si="23"/>
        <v>0.39580348469690613</v>
      </c>
      <c r="N234" s="319">
        <f>MatrixExamplesMathematica!D686</f>
        <v>9.6657934142967434E-3</v>
      </c>
      <c r="O234" s="321">
        <f>MatrixExamplesMathematica!D687</f>
        <v>2.0208533573418678E-2</v>
      </c>
    </row>
    <row r="235" spans="1:15">
      <c r="A235" s="4">
        <v>115</v>
      </c>
      <c r="B235" s="5">
        <f>MatrixExamplesMathematica!BK531</f>
        <v>14489.294204038946</v>
      </c>
      <c r="C235" s="5">
        <f>MatrixExamplesMathematica!BK534</f>
        <v>14451.389572289016</v>
      </c>
      <c r="D235" s="5">
        <f>MatrixExamplesMathematica!BH534</f>
        <v>4.6145334631065096E-11</v>
      </c>
      <c r="E235" s="5">
        <f>MatrixExamplesMathematica!BJ534</f>
        <v>3.4706354606958416E-12</v>
      </c>
      <c r="F235" s="319">
        <f>MatrixExamplesMathematica!BN525</f>
        <v>1.1019503036312499E-3</v>
      </c>
      <c r="G235" s="5">
        <f>MatrixExamplesMathematica!BR516</f>
        <v>2.0391699999999999E-3</v>
      </c>
      <c r="H235" s="320" t="s">
        <v>418</v>
      </c>
      <c r="I235" s="5">
        <f>MatrixExamplesMathematica!BL531</f>
        <v>0.4627479522201422</v>
      </c>
      <c r="J235" s="5">
        <f>MatrixExamplesMathematica!BK520</f>
        <v>288254234.29100001</v>
      </c>
      <c r="K235" s="5">
        <f t="shared" si="22"/>
        <v>8.4597756955528922</v>
      </c>
      <c r="L235" s="5">
        <f>MatrixExamplesMathematica!BM521</f>
        <v>260.12321308806241</v>
      </c>
      <c r="M235" s="5">
        <f t="shared" si="23"/>
        <v>2.4151791098514579</v>
      </c>
      <c r="N235" s="319">
        <f>MatrixExamplesMathematica!BJ537</f>
        <v>1.1000797557822943E-3</v>
      </c>
      <c r="O235" s="321">
        <f>MatrixExamplesMathematica!BJ538</f>
        <v>2.1089018581259197E-4</v>
      </c>
    </row>
    <row r="236" spans="1:15">
      <c r="A236" s="4">
        <v>115</v>
      </c>
      <c r="B236" s="5">
        <f>MatrixExamplesMathematica!BK561</f>
        <v>27.899339534093542</v>
      </c>
      <c r="C236" s="5">
        <f>MatrixExamplesMathematica!BK564</f>
        <v>27.127555071427878</v>
      </c>
      <c r="D236" s="5">
        <f>MatrixExamplesMathematica!BH564</f>
        <v>2.2804420749955529E-7</v>
      </c>
      <c r="E236" s="5">
        <f>MatrixExamplesMathematica!BJ564</f>
        <v>4.6631050533885444E-12</v>
      </c>
      <c r="F236" s="319">
        <f>MatrixExamplesMathematica!BN555</f>
        <v>8.9266687598713763E-3</v>
      </c>
      <c r="G236" s="5">
        <f>MatrixExamplesMathematica!BR546</f>
        <v>2.91335E-2</v>
      </c>
      <c r="H236" s="320" t="s">
        <v>421</v>
      </c>
      <c r="I236" s="5">
        <f>MatrixExamplesMathematica!BL561</f>
        <v>0.34990671526139294</v>
      </c>
      <c r="J236" s="5">
        <f>MatrixExamplesMathematica!BK550</f>
        <v>1477253.0889999999</v>
      </c>
      <c r="K236" s="5">
        <f t="shared" si="22"/>
        <v>6.1694549067811693</v>
      </c>
      <c r="L236" s="5">
        <f>MatrixExamplesMathematica!BM551</f>
        <v>15.095402025300515</v>
      </c>
      <c r="M236" s="5">
        <f t="shared" si="23"/>
        <v>1.1788446837747915</v>
      </c>
      <c r="N236" s="319">
        <f>MatrixExamplesMathematica!BJ567</f>
        <v>1.0620092199104212E-2</v>
      </c>
      <c r="O236" s="321">
        <f>MatrixExamplesMathematica!BJ568</f>
        <v>3.5849072117479712E-3</v>
      </c>
    </row>
    <row r="237" spans="1:15">
      <c r="A237" s="4">
        <v>115</v>
      </c>
      <c r="B237" s="5">
        <f>MatrixExamplesMathematica!BK591</f>
        <v>4.6605850538640823</v>
      </c>
      <c r="C237" s="5">
        <f>MatrixExamplesMathematica!BK594</f>
        <v>4.4800774614609224</v>
      </c>
      <c r="D237" s="5">
        <f>MatrixExamplesMathematica!BH594</f>
        <v>1.3044839733898231E-8</v>
      </c>
      <c r="E237" s="5">
        <f>MatrixExamplesMathematica!BJ594</f>
        <v>1.4477744034028014E-12</v>
      </c>
      <c r="F237" s="319">
        <f>MatrixExamplesMathematica!BN585</f>
        <v>1.0520757995226939E-2</v>
      </c>
      <c r="G237" s="5">
        <f>MatrixExamplesMathematica!BR576</f>
        <v>4.91797E-2</v>
      </c>
      <c r="H237" s="320" t="s">
        <v>422</v>
      </c>
      <c r="I237" s="5">
        <f>MatrixExamplesMathematica!BL591</f>
        <v>0.30058511271628585</v>
      </c>
      <c r="J237" s="5">
        <f>MatrixExamplesMathematica!BK580</f>
        <v>431358.17800000001</v>
      </c>
      <c r="K237" s="5">
        <f t="shared" si="22"/>
        <v>5.634838036120521</v>
      </c>
      <c r="L237" s="5">
        <f>MatrixExamplesMathematica!BM581</f>
        <v>7.1821215668836507</v>
      </c>
      <c r="M237" s="5">
        <f t="shared" si="23"/>
        <v>0.85625275185938454</v>
      </c>
      <c r="N237" s="319">
        <f>MatrixExamplesMathematica!BJ597</f>
        <v>1.3172445427424328E-2</v>
      </c>
      <c r="O237" s="321">
        <f>MatrixExamplesMathematica!BJ598</f>
        <v>6.6592873275049926E-3</v>
      </c>
    </row>
    <row r="238" spans="1:15">
      <c r="A238" s="4">
        <v>115</v>
      </c>
      <c r="B238" s="5">
        <f>MatrixExamplesMathematica!BK621</f>
        <v>0.89658977256514127</v>
      </c>
      <c r="C238" s="5">
        <f>MatrixExamplesMathematica!BK624</f>
        <v>0.81638383646958346</v>
      </c>
      <c r="D238" s="5">
        <f>MatrixExamplesMathematica!BH624</f>
        <v>9.0241051003292633E-7</v>
      </c>
      <c r="E238" s="5">
        <f>MatrixExamplesMathematica!BJ624</f>
        <v>1.7575525561875614E-12</v>
      </c>
      <c r="F238" s="319">
        <f>MatrixExamplesMathematica!BN615</f>
        <v>7.7415907973043983E-3</v>
      </c>
      <c r="G238" s="5">
        <f>MatrixExamplesMathematica!BR606</f>
        <v>0.13179299999999999</v>
      </c>
      <c r="H238" s="320" t="s">
        <v>424</v>
      </c>
      <c r="I238" s="5">
        <f>MatrixExamplesMathematica!BL621</f>
        <v>0.34148639364869593</v>
      </c>
      <c r="J238" s="5">
        <f>MatrixExamplesMathematica!BK610</f>
        <v>103057.63</v>
      </c>
      <c r="K238" s="5">
        <f t="shared" si="22"/>
        <v>5.013080150838455</v>
      </c>
      <c r="L238" s="5">
        <f>MatrixExamplesMathematica!BM611</f>
        <v>2.772831545135682</v>
      </c>
      <c r="M238" s="5">
        <f t="shared" si="23"/>
        <v>0.4429234861518776</v>
      </c>
      <c r="N238" s="319">
        <f>MatrixExamplesMathematica!BJ627</f>
        <v>1.3989185773329325E-2</v>
      </c>
      <c r="O238" s="321">
        <f>MatrixExamplesMathematica!BJ628</f>
        <v>3.2814847270906285E-2</v>
      </c>
    </row>
    <row r="239" spans="1:15">
      <c r="A239" s="33">
        <v>435</v>
      </c>
      <c r="B239" s="5">
        <f>MatrixExamplesMathematica!EG48</f>
        <v>2352.946546067451</v>
      </c>
      <c r="C239" s="5">
        <f>MatrixExamplesMathematica!EG51</f>
        <v>2336.0688696252437</v>
      </c>
      <c r="D239" s="5">
        <f>MatrixExamplesMathematica!ED51</f>
        <v>7.5068824735039179E-11</v>
      </c>
      <c r="E239" s="5">
        <f>MatrixExamplesMathematica!EF51</f>
        <v>2.1348401794680231E-13</v>
      </c>
      <c r="F239" s="319">
        <f>MatrixExamplesMathematica!EJ42</f>
        <v>2.6817839667429176E-3</v>
      </c>
      <c r="G239" s="5">
        <f>MatrixExamplesMathematica!EN33</f>
        <v>5.9929800000000002E-3</v>
      </c>
      <c r="H239" s="320" t="s">
        <v>425</v>
      </c>
      <c r="I239" s="5">
        <f>MatrixExamplesMathematica!EH48</f>
        <v>0.42527545468587391</v>
      </c>
      <c r="J239" s="5">
        <f>MatrixExamplesMathematica!EG37</f>
        <v>172987263.61000001</v>
      </c>
      <c r="K239" s="5">
        <f t="shared" si="22"/>
        <v>8.2380141288656894</v>
      </c>
      <c r="L239" s="5">
        <f>MatrixExamplesMathematica!EI38</f>
        <v>114.06061605789597</v>
      </c>
      <c r="M239" s="5">
        <f t="shared" si="23"/>
        <v>2.0571357129427761</v>
      </c>
      <c r="N239" s="319">
        <f>MatrixExamplesMathematica!EF54</f>
        <v>2.7608508301619141E-3</v>
      </c>
      <c r="O239" s="321">
        <f>MatrixExamplesMathematica!EF55</f>
        <v>8.2435196775867861E-4</v>
      </c>
    </row>
    <row r="240" spans="1:15">
      <c r="A240" s="33">
        <v>435</v>
      </c>
      <c r="B240" s="5">
        <f>MatrixExamplesMathematica!EG108</f>
        <v>1.4232987571498104</v>
      </c>
      <c r="C240" s="5">
        <f>MatrixExamplesMathematica!EG111</f>
        <v>1.3103664570657667</v>
      </c>
      <c r="D240" s="5">
        <f>MatrixExamplesMathematica!ED111</f>
        <v>2.4874541160770306E-8</v>
      </c>
      <c r="E240" s="5">
        <f>MatrixExamplesMathematica!EF111</f>
        <v>3.2512468621276723E-13</v>
      </c>
      <c r="F240" s="319">
        <f>MatrixExamplesMathematica!EJ102</f>
        <v>1.3841164654822208E-2</v>
      </c>
      <c r="G240" s="5">
        <f>MatrixExamplesMathematica!EN93</f>
        <v>9.9907499999999996E-2</v>
      </c>
      <c r="H240" s="320" t="s">
        <v>430</v>
      </c>
      <c r="I240" s="5">
        <f>MatrixExamplesMathematica!EH108</f>
        <v>0.38222646160056239</v>
      </c>
      <c r="J240" s="5">
        <f>MatrixExamplesMathematica!EG97</f>
        <v>416626.79000000004</v>
      </c>
      <c r="K240" s="5">
        <f t="shared" si="22"/>
        <v>5.619747192580264</v>
      </c>
      <c r="L240" s="5">
        <f>MatrixExamplesMathematica!EI98</f>
        <v>3.1212408701764871</v>
      </c>
      <c r="M240" s="5">
        <f t="shared" si="23"/>
        <v>0.49432728502291357</v>
      </c>
      <c r="N240" s="319">
        <f>MatrixExamplesMathematica!EF114</f>
        <v>2.1674847538301352E-2</v>
      </c>
      <c r="O240" s="321">
        <f>MatrixExamplesMathematica!EF115</f>
        <v>1.9754394390432625E-2</v>
      </c>
    </row>
    <row r="241" spans="1:15">
      <c r="A241" s="33">
        <v>435</v>
      </c>
      <c r="B241" s="5">
        <f>MatrixExamplesMathematica!EG78</f>
        <v>7.0889209711328616E-2</v>
      </c>
      <c r="C241" s="5">
        <f>MatrixExamplesMathematica!EG81</f>
        <v>6.3694371044396569E-2</v>
      </c>
      <c r="D241" s="5">
        <f>MatrixExamplesMathematica!ED81</f>
        <v>1.6364806740680978E-8</v>
      </c>
      <c r="E241" s="5">
        <f>MatrixExamplesMathematica!EF81</f>
        <v>7.0060467112862842E-12</v>
      </c>
      <c r="F241" s="319">
        <f>MatrixExamplesMathematica!EJ72</f>
        <v>1.5168255946035891E-3</v>
      </c>
      <c r="G241" s="5">
        <f>MatrixExamplesMathematica!EN63</f>
        <v>0.231215</v>
      </c>
      <c r="H241" s="320" t="s">
        <v>426</v>
      </c>
      <c r="I241" s="5">
        <f>MatrixExamplesMathematica!EH78</f>
        <v>0.43623062311077448</v>
      </c>
      <c r="J241" s="5">
        <f>MatrixExamplesMathematica!EG67</f>
        <v>75473.41</v>
      </c>
      <c r="K241" s="5">
        <f t="shared" si="22"/>
        <v>4.8777939725000392</v>
      </c>
      <c r="L241" s="5">
        <f>MatrixExamplesMathematica!EI68</f>
        <v>0.61034292951378921</v>
      </c>
      <c r="M241" s="5">
        <f t="shared" si="23"/>
        <v>-0.21442608212393541</v>
      </c>
      <c r="N241" s="319">
        <f>MatrixExamplesMathematica!EF84</f>
        <v>4.7135656988712736E-3</v>
      </c>
      <c r="O241" s="321">
        <f>MatrixExamplesMathematica!EF85</f>
        <v>4.9878899613201723E-2</v>
      </c>
    </row>
    <row r="242" spans="1:15">
      <c r="A242" s="33">
        <v>650</v>
      </c>
      <c r="B242" s="5">
        <f>MatrixExamplesMathematica!ES48</f>
        <v>3.5947947783880441E-2</v>
      </c>
      <c r="C242" s="5">
        <f>MatrixExamplesMathematica!ES51</f>
        <v>3.3202067830153059E-2</v>
      </c>
      <c r="D242" s="5">
        <f>MatrixExamplesMathematica!EP51</f>
        <v>2.5601472388827932E-10</v>
      </c>
      <c r="E242" s="5">
        <f>MatrixExamplesMathematica!ER51</f>
        <v>5.5129935210772275E-13</v>
      </c>
      <c r="F242" s="319">
        <f>MatrixExamplesMathematica!EV42</f>
        <v>2.1835933024403368E-3</v>
      </c>
      <c r="G242" s="5">
        <f>MatrixExamplesMathematica!EZ33</f>
        <v>0.20844099999999999</v>
      </c>
      <c r="H242" s="320" t="s">
        <v>427</v>
      </c>
      <c r="I242" s="5">
        <f>MatrixExamplesMathematica!ET48</f>
        <v>0.41950827294542914</v>
      </c>
      <c r="J242" s="5">
        <f>MatrixExamplesMathematica!ES37</f>
        <v>100545.28</v>
      </c>
      <c r="K242" s="5">
        <f t="shared" si="22"/>
        <v>5.0023616878808621</v>
      </c>
      <c r="L242" s="5">
        <f>MatrixExamplesMathematica!EU38</f>
        <v>0.45195637984992065</v>
      </c>
      <c r="M242" s="5">
        <f t="shared" si="23"/>
        <v>-0.34490347869443794</v>
      </c>
      <c r="N242" s="319">
        <f>MatrixExamplesMathematica!ER54</f>
        <v>8.0521407255985077E-3</v>
      </c>
      <c r="O242" s="321">
        <f>MatrixExamplesMathematica!ER55</f>
        <v>4.8928889783477543E-2</v>
      </c>
    </row>
    <row r="243" spans="1:15">
      <c r="A243" s="33">
        <v>650</v>
      </c>
      <c r="B243" s="5">
        <f>MatrixExamplesMathematica!ES78</f>
        <v>0.1099547376611254</v>
      </c>
      <c r="C243" s="5">
        <f>MatrixExamplesMathematica!ES81</f>
        <v>0.10261904035567193</v>
      </c>
      <c r="D243" s="5">
        <f>MatrixExamplesMathematica!EP81</f>
        <v>8.3551259755509646E-9</v>
      </c>
      <c r="E243" s="5">
        <f>MatrixExamplesMathematica!ER81</f>
        <v>5.6489496346154432E-13</v>
      </c>
      <c r="F243" s="319">
        <f>MatrixExamplesMathematica!EV72</f>
        <v>6.8443163922412287E-3</v>
      </c>
      <c r="G243" s="5">
        <f>MatrixExamplesMathematica!EZ63</f>
        <v>0.136937</v>
      </c>
      <c r="H243" s="320" t="s">
        <v>428</v>
      </c>
      <c r="I243" s="5">
        <f>MatrixExamplesMathematica!ET78</f>
        <v>0.34090677458749302</v>
      </c>
      <c r="J243" s="5">
        <f>MatrixExamplesMathematica!ES67</f>
        <v>170291.65999999997</v>
      </c>
      <c r="K243" s="5">
        <f t="shared" si="22"/>
        <v>5.2311933789980012</v>
      </c>
      <c r="L243" s="5">
        <f>MatrixExamplesMathematica!EU68</f>
        <v>0.9726830359201607</v>
      </c>
      <c r="M243" s="5">
        <f t="shared" si="23"/>
        <v>-1.2028658371983794E-2</v>
      </c>
      <c r="N243" s="319">
        <f>MatrixExamplesMathematica!ER84</f>
        <v>1.6177724934736008E-2</v>
      </c>
      <c r="O243" s="321">
        <f>MatrixExamplesMathematica!ER85</f>
        <v>1.8534161361135917E-2</v>
      </c>
    </row>
    <row r="244" spans="1:15">
      <c r="A244" s="33">
        <v>650</v>
      </c>
      <c r="B244" s="5">
        <f>MatrixExamplesMathematica!ES108</f>
        <v>7427.7069455536985</v>
      </c>
      <c r="C244" s="5">
        <f>MatrixExamplesMathematica!ES111</f>
        <v>7409.5011564708911</v>
      </c>
      <c r="D244" s="5">
        <f>MatrixExamplesMathematica!EP111</f>
        <v>2.5977291737956283E-12</v>
      </c>
      <c r="E244" s="5">
        <f>MatrixExamplesMathematica!ER111</f>
        <v>7.7322446010708794E-12</v>
      </c>
      <c r="F244" s="319">
        <f>MatrixExamplesMathematica!EV102</f>
        <v>7.5413659081586789E-4</v>
      </c>
      <c r="G244" s="5">
        <f>MatrixExamplesMathematica!EZ93</f>
        <v>2.05149E-3</v>
      </c>
      <c r="H244" s="320" t="s">
        <v>429</v>
      </c>
      <c r="I244" s="5">
        <f>MatrixExamplesMathematica!ET108</f>
        <v>0.44201794651261245</v>
      </c>
      <c r="J244" s="5">
        <f>MatrixExamplesMathematica!ES97</f>
        <v>946775025.50000012</v>
      </c>
      <c r="K244" s="5">
        <f t="shared" si="22"/>
        <v>8.9762467933734467</v>
      </c>
      <c r="L244" s="5">
        <f>MatrixExamplesMathematica!EU98</f>
        <v>194.97883793614156</v>
      </c>
      <c r="M244" s="5">
        <f t="shared" si="23"/>
        <v>2.2899874776892291</v>
      </c>
      <c r="N244" s="319">
        <f>MatrixExamplesMathematica!ER114</f>
        <v>7.6727480299188606E-4</v>
      </c>
      <c r="O244" s="321">
        <f>MatrixExamplesMathematica!ER115</f>
        <v>4.5612430314354089E-4</v>
      </c>
    </row>
    <row r="245" spans="1:15">
      <c r="A245" s="4">
        <f>MatrixExamplesMathematica!FI6</f>
        <v>3400</v>
      </c>
      <c r="B245" s="5">
        <f>MatrixExamplesMathematica!FE18</f>
        <v>4.9584460526292048E-3</v>
      </c>
      <c r="C245" s="5">
        <f>MatrixExamplesMathematica!FE21</f>
        <v>4.6575452912431883E-3</v>
      </c>
      <c r="D245" s="5">
        <f>MatrixExamplesMathematica!FB21</f>
        <v>1.7036165317440453E-10</v>
      </c>
      <c r="E245" s="5">
        <f>MatrixExamplesMathematica!FD21</f>
        <v>2.685883498557044E-14</v>
      </c>
      <c r="F245" s="319">
        <f>MatrixExamplesMathematica!FH12</f>
        <v>5.0574315870623512E-3</v>
      </c>
      <c r="G245" s="5">
        <f>MatrixExamplesMathematica!FL3</f>
        <v>0.38939600000000002</v>
      </c>
      <c r="H245" s="320" t="s">
        <v>455</v>
      </c>
      <c r="I245" s="5">
        <f>MatrixExamplesMathematica!FF18</f>
        <v>0.39919685157317619</v>
      </c>
      <c r="J245" s="5">
        <f>MatrixExamplesMathematica!FE7</f>
        <v>399313.36</v>
      </c>
      <c r="K245" s="5">
        <f t="shared" si="22"/>
        <v>5.6013138408159611</v>
      </c>
      <c r="L245" s="5">
        <f>MatrixExamplesMathematica!FG8</f>
        <v>0.17639476368593679</v>
      </c>
      <c r="M245" s="5">
        <f t="shared" si="23"/>
        <v>-0.75351431113195655</v>
      </c>
      <c r="N245" s="319">
        <f>MatrixExamplesMathematica!FD24</f>
        <v>4.095981402576726E-2</v>
      </c>
      <c r="O245" s="321">
        <f>MatrixExamplesMathematica!FD25</f>
        <v>7.4068507693685018E-2</v>
      </c>
    </row>
    <row r="246" spans="1:15">
      <c r="A246" s="4">
        <v>3400</v>
      </c>
      <c r="B246" s="5">
        <f>MatrixExamplesMathematica!FE48</f>
        <v>5.9513077915474999E-2</v>
      </c>
      <c r="C246" s="5">
        <f>MatrixExamplesMathematica!FE51</f>
        <v>5.3107818145081753E-2</v>
      </c>
      <c r="D246" s="5">
        <f>MatrixExamplesMathematica!FB51</f>
        <v>1.268479456845055E-10</v>
      </c>
      <c r="E246" s="5">
        <f>MatrixExamplesMathematica!FD51</f>
        <v>6.6013019710950254E-12</v>
      </c>
      <c r="F246" s="319">
        <f>MatrixExamplesMathematica!FH42</f>
        <v>3.329733523156759E-4</v>
      </c>
      <c r="G246" s="5">
        <f>MatrixExamplesMathematica!FL33</f>
        <v>0.27494299999999999</v>
      </c>
      <c r="H246" s="320" t="s">
        <v>456</v>
      </c>
      <c r="I246" s="5">
        <f>MatrixExamplesMathematica!FF48</f>
        <v>0.40359593209885741</v>
      </c>
      <c r="J246" s="5">
        <f>MatrixExamplesMathematica!FE37</f>
        <v>641793.10000000009</v>
      </c>
      <c r="K246" s="5">
        <f t="shared" si="22"/>
        <v>5.8073950436288628</v>
      </c>
      <c r="L246" s="5">
        <f>MatrixExamplesMathematica!FG38</f>
        <v>0.60444866905532768</v>
      </c>
      <c r="M246" s="5">
        <f t="shared" si="23"/>
        <v>-0.21864057436080522</v>
      </c>
      <c r="N246" s="319">
        <f>MatrixExamplesMathematica!FD54</f>
        <v>1.092478286994046E-3</v>
      </c>
      <c r="O246" s="321">
        <f>MatrixExamplesMathematica!FD55</f>
        <v>5.7440913401640106E-2</v>
      </c>
    </row>
    <row r="247" spans="1:15">
      <c r="A247" s="4">
        <v>3400</v>
      </c>
      <c r="B247" s="5">
        <f>MatrixExamplesMathematica!FE78</f>
        <v>0.35860878321532086</v>
      </c>
      <c r="C247" s="5">
        <f>MatrixExamplesMathematica!FE81</f>
        <v>0.31833713307969713</v>
      </c>
      <c r="D247" s="5">
        <f>MatrixExamplesMathematica!FB81</f>
        <v>6.9962223511429014E-10</v>
      </c>
      <c r="E247" s="5">
        <f>MatrixExamplesMathematica!FD81</f>
        <v>1.7705758306697967E-12</v>
      </c>
      <c r="F247" s="319">
        <f>MatrixExamplesMathematica!FH72</f>
        <v>1.130947667086458E-2</v>
      </c>
      <c r="G247" s="5">
        <f>MatrixExamplesMathematica!FL63</f>
        <v>0.180731</v>
      </c>
      <c r="H247" s="320" t="s">
        <v>459</v>
      </c>
      <c r="I247" s="5">
        <f>MatrixExamplesMathematica!FF78</f>
        <v>0.39258235550859771</v>
      </c>
      <c r="J247" s="5">
        <f>MatrixExamplesMathematica!FE67</f>
        <v>1409216.4</v>
      </c>
      <c r="K247" s="5">
        <f t="shared" si="22"/>
        <v>6.1489776887158882</v>
      </c>
      <c r="L247" s="5">
        <f>MatrixExamplesMathematica!FG68</f>
        <v>1.5253857490927978</v>
      </c>
      <c r="M247" s="5">
        <f t="shared" si="23"/>
        <v>0.18337968467805851</v>
      </c>
      <c r="N247" s="319">
        <f>MatrixExamplesMathematica!FD84</f>
        <v>2.3250631901024346E-2</v>
      </c>
      <c r="O247" s="321">
        <f>MatrixExamplesMathematica!FD85</f>
        <v>3.6725052520117159E-2</v>
      </c>
    </row>
    <row r="248" spans="1:15">
      <c r="A248" s="4">
        <v>3400</v>
      </c>
      <c r="B248" s="5">
        <f>MatrixExamplesMathematica!FE108</f>
        <v>3.6473120753827359</v>
      </c>
      <c r="C248" s="5">
        <f>MatrixExamplesMathematica!FE111</f>
        <v>3.3237237203465106</v>
      </c>
      <c r="D248" s="5">
        <f>MatrixExamplesMathematica!FB111</f>
        <v>1.0802153253926608E-9</v>
      </c>
      <c r="E248" s="5">
        <f>MatrixExamplesMathematica!FD111</f>
        <v>1.5293056181797308E-12</v>
      </c>
      <c r="F248" s="319">
        <f>MatrixExamplesMathematica!FH102</f>
        <v>2.1868559098584373E-2</v>
      </c>
      <c r="G248" s="5">
        <f>MatrixExamplesMathematica!FL93</f>
        <v>9.80515E-2</v>
      </c>
      <c r="H248" s="320" t="s">
        <v>460</v>
      </c>
      <c r="I248" s="5">
        <f>MatrixExamplesMathematica!FF108</f>
        <v>0.41063316960568425</v>
      </c>
      <c r="J248" s="5">
        <f>MatrixExamplesMathematica!FE97</f>
        <v>5255572.6000000006</v>
      </c>
      <c r="K248" s="5">
        <f t="shared" si="22"/>
        <v>6.7206200397692157</v>
      </c>
      <c r="L248" s="5">
        <f>MatrixExamplesMathematica!FG98</f>
        <v>4.6508510934628235</v>
      </c>
      <c r="M248" s="5">
        <f t="shared" si="23"/>
        <v>0.66753243490548253</v>
      </c>
      <c r="N248" s="319">
        <f>MatrixExamplesMathematica!FD114</f>
        <v>3.1283328564368024E-2</v>
      </c>
      <c r="O248" s="321">
        <f>MatrixExamplesMathematica!FD115</f>
        <v>1.4797263678865843E-2</v>
      </c>
    </row>
    <row r="249" spans="1:15">
      <c r="A249" s="4">
        <v>3400</v>
      </c>
      <c r="B249" s="5">
        <f>MatrixExamplesMathematica!FE138</f>
        <v>92.918144201830046</v>
      </c>
      <c r="C249" s="5">
        <f>MatrixExamplesMathematica!FE141</f>
        <v>90.494983916858246</v>
      </c>
      <c r="D249" s="5">
        <f>MatrixExamplesMathematica!FB141</f>
        <v>1.8789613682525119E-11</v>
      </c>
      <c r="E249" s="5">
        <f>MatrixExamplesMathematica!FD141</f>
        <v>1.0539607431818024E-12</v>
      </c>
      <c r="F249" s="319">
        <f>MatrixExamplesMathematica!FH132</f>
        <v>8.609566620382491E-3</v>
      </c>
      <c r="G249" s="5">
        <f>MatrixExamplesMathematica!FL123</f>
        <v>2.38493E-2</v>
      </c>
      <c r="H249" s="320" t="s">
        <v>461</v>
      </c>
      <c r="I249" s="5">
        <f>MatrixExamplesMathematica!FF138</f>
        <v>0.40444543852633758</v>
      </c>
      <c r="J249" s="5">
        <f>MatrixExamplesMathematica!FE127</f>
        <v>79254837.100000009</v>
      </c>
      <c r="K249" s="5">
        <f t="shared" si="22"/>
        <v>7.8990257776624215</v>
      </c>
      <c r="L249" s="5">
        <f>MatrixExamplesMathematica!FG128</f>
        <v>23.833637081943266</v>
      </c>
      <c r="M249" s="5">
        <f t="shared" si="23"/>
        <v>1.3771903219976938</v>
      </c>
      <c r="N249" s="319">
        <f>MatrixExamplesMathematica!FD144</f>
        <v>9.4075747776200518E-3</v>
      </c>
      <c r="O249" s="321">
        <f>MatrixExamplesMathematica!FD145</f>
        <v>3.7656965484978307E-3</v>
      </c>
    </row>
    <row r="250" spans="1:15" ht="15.75" thickBot="1">
      <c r="A250" s="7">
        <v>3400</v>
      </c>
      <c r="B250" s="8">
        <f>MatrixExamplesMathematica!FE168</f>
        <v>1572.8898754329275</v>
      </c>
      <c r="C250" s="8">
        <f>MatrixExamplesMathematica!FE171</f>
        <v>1560.1557664557895</v>
      </c>
      <c r="D250" s="8">
        <f>MatrixExamplesMathematica!FB171</f>
        <v>2.0467319962333606E-11</v>
      </c>
      <c r="E250" s="8">
        <f>MatrixExamplesMathematica!FD171</f>
        <v>5.4318928123449927E-12</v>
      </c>
      <c r="F250" s="323">
        <f>MatrixExamplesMathematica!FH162</f>
        <v>3.05128990284884E-3</v>
      </c>
      <c r="G250" s="8">
        <f>MatrixExamplesMathematica!FL153</f>
        <v>6.9146700000000004E-3</v>
      </c>
      <c r="H250" s="94" t="s">
        <v>462</v>
      </c>
      <c r="I250" s="8">
        <f>MatrixExamplesMathematica!FF168</f>
        <v>0.41411726552801037</v>
      </c>
      <c r="J250" s="8">
        <f>MatrixExamplesMathematica!FE157</f>
        <v>1066737282.8000001</v>
      </c>
      <c r="K250" s="8">
        <f t="shared" si="22"/>
        <v>9.0280574740833011</v>
      </c>
      <c r="L250" s="8">
        <f>MatrixExamplesMathematica!FG158</f>
        <v>95.769191449556004</v>
      </c>
      <c r="M250" s="8">
        <f t="shared" si="23"/>
        <v>1.9812258208179492</v>
      </c>
      <c r="N250" s="323">
        <f>MatrixExamplesMathematica!FD174</f>
        <v>3.1338471426219146E-3</v>
      </c>
      <c r="O250" s="325">
        <f>MatrixExamplesMathematica!FD175</f>
        <v>9.1441695286499593E-4</v>
      </c>
    </row>
    <row r="251" spans="1:15" ht="16.5" thickTop="1" thickBot="1">
      <c r="A251" s="123"/>
      <c r="B251" s="123"/>
      <c r="C251" s="123"/>
      <c r="D251" s="123"/>
      <c r="E251" s="123"/>
      <c r="F251" s="148"/>
      <c r="G251" s="123"/>
      <c r="H251" s="124"/>
      <c r="I251" s="123"/>
      <c r="J251" s="123"/>
      <c r="K251" s="123"/>
      <c r="L251" s="123"/>
      <c r="M251" s="123"/>
      <c r="N251" s="148"/>
      <c r="O251" s="148"/>
    </row>
    <row r="252" spans="1:15" ht="42.75" customHeight="1" thickTop="1">
      <c r="A252" s="1"/>
      <c r="B252" s="2" t="s">
        <v>441</v>
      </c>
      <c r="C252" s="2"/>
      <c r="D252" s="2"/>
      <c r="E252" s="2"/>
      <c r="F252" s="2"/>
      <c r="G252" s="2"/>
      <c r="H252" s="2"/>
      <c r="I252" s="3"/>
    </row>
    <row r="253" spans="1:15" ht="105">
      <c r="A253" s="314" t="s">
        <v>411</v>
      </c>
      <c r="B253" s="315" t="s">
        <v>255</v>
      </c>
      <c r="C253" s="315" t="s">
        <v>171</v>
      </c>
      <c r="D253" s="316" t="s">
        <v>16</v>
      </c>
      <c r="E253" s="315" t="s">
        <v>208</v>
      </c>
      <c r="F253" s="317" t="s">
        <v>6</v>
      </c>
      <c r="G253" s="317" t="s">
        <v>172</v>
      </c>
      <c r="H253" s="317" t="s">
        <v>443</v>
      </c>
      <c r="I253" s="318" t="s">
        <v>447</v>
      </c>
    </row>
    <row r="254" spans="1:15">
      <c r="A254" s="4">
        <f>A233</f>
        <v>22</v>
      </c>
      <c r="B254" s="5">
        <f>B233</f>
        <v>1.0026362756784284</v>
      </c>
      <c r="C254" s="319">
        <f>F233</f>
        <v>2.5547566047710434E-2</v>
      </c>
      <c r="D254" s="5">
        <f>G233</f>
        <v>0.106529</v>
      </c>
      <c r="E254" s="5" t="str">
        <f>H233</f>
        <v>Matrix2n010</v>
      </c>
      <c r="F254" s="170">
        <f>J233</f>
        <v>11351.4571</v>
      </c>
      <c r="G254" s="5">
        <f>L233</f>
        <v>1.9214749069551997</v>
      </c>
      <c r="H254" s="5">
        <f>B254/G254</f>
        <v>0.52180555262479178</v>
      </c>
      <c r="I254" s="321">
        <f>D323</f>
        <v>4.6616956453580688E-2</v>
      </c>
      <c r="L254">
        <v>0.03</v>
      </c>
      <c r="M254">
        <v>3</v>
      </c>
    </row>
    <row r="255" spans="1:15">
      <c r="A255" s="4">
        <f>A238</f>
        <v>115</v>
      </c>
      <c r="B255" s="5">
        <f>B238</f>
        <v>0.89658977256514127</v>
      </c>
      <c r="C255" s="319">
        <f>F238</f>
        <v>7.7415907973043983E-3</v>
      </c>
      <c r="D255" s="5">
        <f>G238</f>
        <v>0.13179299999999999</v>
      </c>
      <c r="E255" s="5" t="str">
        <f>H238</f>
        <v>Matrix2n014</v>
      </c>
      <c r="F255" s="170">
        <f>J238</f>
        <v>103057.63</v>
      </c>
      <c r="G255" s="5">
        <f>L238</f>
        <v>2.772831545135682</v>
      </c>
      <c r="H255" s="5">
        <f>B255/G255</f>
        <v>0.32334808587200659</v>
      </c>
      <c r="I255" s="321">
        <f>D353</f>
        <v>1.3989185773329325E-2</v>
      </c>
      <c r="L255">
        <v>0.03</v>
      </c>
      <c r="M255">
        <v>0</v>
      </c>
    </row>
    <row r="256" spans="1:15">
      <c r="A256" s="4">
        <f>A242</f>
        <v>650</v>
      </c>
      <c r="B256" s="5">
        <f>B243</f>
        <v>0.1099547376611254</v>
      </c>
      <c r="C256" s="319">
        <f>F243</f>
        <v>6.8443163922412287E-3</v>
      </c>
      <c r="D256" s="5">
        <f>G243</f>
        <v>0.136937</v>
      </c>
      <c r="E256" s="5" t="str">
        <f>H243</f>
        <v>Matrix2n018</v>
      </c>
      <c r="F256" s="170">
        <f>J243</f>
        <v>170291.65999999997</v>
      </c>
      <c r="G256" s="5">
        <f>L243</f>
        <v>0.9726830359201607</v>
      </c>
      <c r="H256" s="5">
        <f>B256/G256</f>
        <v>0.11304272162730579</v>
      </c>
      <c r="I256" s="321">
        <f>D383</f>
        <v>1.6177724934736008E-2</v>
      </c>
    </row>
    <row r="257" spans="1:12" ht="15.75" thickBot="1">
      <c r="A257" s="7">
        <v>3400</v>
      </c>
      <c r="B257" s="8">
        <f>B248</f>
        <v>3.6473120753827359</v>
      </c>
      <c r="C257" s="323">
        <f>F248</f>
        <v>2.1868559098584373E-2</v>
      </c>
      <c r="D257" s="8">
        <f>G248</f>
        <v>9.80515E-2</v>
      </c>
      <c r="E257" s="94" t="s">
        <v>460</v>
      </c>
      <c r="F257" s="8"/>
      <c r="G257" s="8">
        <f>L248</f>
        <v>4.6508510934628235</v>
      </c>
      <c r="H257" s="8">
        <f>B257/G257</f>
        <v>0.78422465094815674</v>
      </c>
      <c r="I257" s="325">
        <f>N248</f>
        <v>3.1283328564368024E-2</v>
      </c>
      <c r="L257" t="s">
        <v>181</v>
      </c>
    </row>
    <row r="258" spans="1:12" ht="15.75" thickTop="1">
      <c r="D258">
        <f>AVERAGE(D254:D256)</f>
        <v>0.12508633333333333</v>
      </c>
      <c r="L258" t="s">
        <v>182</v>
      </c>
    </row>
    <row r="259" spans="1:12">
      <c r="D259" t="s">
        <v>442</v>
      </c>
      <c r="L259" t="s">
        <v>431</v>
      </c>
    </row>
    <row r="260" spans="1:12">
      <c r="L260" t="s">
        <v>432</v>
      </c>
    </row>
    <row r="261" spans="1:12">
      <c r="L261" t="s">
        <v>458</v>
      </c>
    </row>
    <row r="299" spans="1:13" ht="15.75" thickBot="1"/>
    <row r="300" spans="1:13" ht="15.75" thickTop="1">
      <c r="A300" s="128"/>
      <c r="B300" s="121"/>
      <c r="C300" s="121"/>
      <c r="D300" s="121"/>
      <c r="E300" s="121"/>
      <c r="F300" s="133" t="s">
        <v>239</v>
      </c>
      <c r="G300" s="121"/>
      <c r="H300" s="121"/>
      <c r="I300" s="129" t="s">
        <v>414</v>
      </c>
      <c r="J300" s="121"/>
      <c r="K300" s="121"/>
      <c r="L300" s="122"/>
    </row>
    <row r="301" spans="1:13" ht="15.75" thickBot="1">
      <c r="A301" s="130" t="s">
        <v>167</v>
      </c>
      <c r="B301" s="123"/>
      <c r="C301" s="123"/>
      <c r="D301" s="123"/>
      <c r="E301" s="123"/>
      <c r="F301" s="123"/>
      <c r="G301" s="123"/>
      <c r="H301" s="123" t="s">
        <v>168</v>
      </c>
      <c r="I301" s="123"/>
      <c r="J301" s="123"/>
      <c r="K301" s="123"/>
      <c r="L301" s="98"/>
    </row>
    <row r="302" spans="1:13" ht="15.75" thickTop="1">
      <c r="A302" s="1"/>
      <c r="B302" s="2" t="s">
        <v>0</v>
      </c>
      <c r="C302" s="2" t="s">
        <v>1</v>
      </c>
      <c r="D302" s="2" t="s">
        <v>2</v>
      </c>
      <c r="E302" s="3" t="s">
        <v>6</v>
      </c>
      <c r="F302" s="103" t="s">
        <v>70</v>
      </c>
      <c r="G302" s="103" t="s">
        <v>172</v>
      </c>
      <c r="H302" s="123" t="s">
        <v>3</v>
      </c>
      <c r="I302" s="123">
        <v>6</v>
      </c>
      <c r="J302" s="123"/>
      <c r="K302" s="123" t="s">
        <v>19</v>
      </c>
      <c r="L302" s="123">
        <v>0.106529</v>
      </c>
    </row>
    <row r="303" spans="1:13">
      <c r="A303" s="4" t="s">
        <v>3</v>
      </c>
      <c r="B303" s="100">
        <v>2247.4899999999998</v>
      </c>
      <c r="C303" s="5">
        <v>2936.36</v>
      </c>
      <c r="D303" s="5">
        <v>712.22900000000004</v>
      </c>
      <c r="E303" s="104">
        <f>SUM(B303:D303)</f>
        <v>5896.0790000000006</v>
      </c>
      <c r="F303" s="123">
        <f>D303/C303</f>
        <v>0.242555068179651</v>
      </c>
      <c r="G303" s="123">
        <f>B303/C303</f>
        <v>0.7654000190712309</v>
      </c>
      <c r="H303" s="123" t="s">
        <v>4</v>
      </c>
      <c r="I303" s="123">
        <v>12</v>
      </c>
      <c r="J303" s="123"/>
      <c r="K303" s="123"/>
      <c r="L303" s="98"/>
      <c r="M303">
        <v>1</v>
      </c>
    </row>
    <row r="304" spans="1:13">
      <c r="A304" s="4" t="s">
        <v>4</v>
      </c>
      <c r="B304" s="5">
        <v>2938.79</v>
      </c>
      <c r="C304" s="5">
        <v>1168.29</v>
      </c>
      <c r="D304" s="5">
        <v>283.37400000000002</v>
      </c>
      <c r="E304" s="106">
        <f t="shared" ref="E304:E306" si="24">SUM(B304:D304)</f>
        <v>4390.4539999999997</v>
      </c>
      <c r="F304" s="123">
        <f t="shared" ref="F304:F306" si="25">D304/C304</f>
        <v>0.24255450273476623</v>
      </c>
      <c r="G304" s="123">
        <f t="shared" ref="G304:G306" si="26">B304/C304</f>
        <v>2.5154627703737944</v>
      </c>
      <c r="H304" s="123" t="s">
        <v>5</v>
      </c>
      <c r="I304" s="123">
        <v>4</v>
      </c>
      <c r="J304" s="123"/>
      <c r="K304" s="123"/>
      <c r="L304" s="98"/>
      <c r="M304">
        <f>G304/G303</f>
        <v>3.2864681312997148</v>
      </c>
    </row>
    <row r="305" spans="1:13">
      <c r="A305" s="4" t="s">
        <v>5</v>
      </c>
      <c r="B305" s="5">
        <v>709.80200000000002</v>
      </c>
      <c r="C305" s="5">
        <v>285.8</v>
      </c>
      <c r="D305" s="5">
        <v>69.322100000000006</v>
      </c>
      <c r="E305" s="108">
        <f t="shared" si="24"/>
        <v>1064.9241000000002</v>
      </c>
      <c r="F305" s="123">
        <f t="shared" si="25"/>
        <v>0.24255458362491253</v>
      </c>
      <c r="G305" s="123">
        <f t="shared" si="26"/>
        <v>2.4835619314205739</v>
      </c>
      <c r="H305" s="123"/>
      <c r="I305" s="123"/>
      <c r="J305" s="123"/>
      <c r="K305" s="123"/>
      <c r="L305" s="98"/>
      <c r="M305">
        <f>G305/G303</f>
        <v>3.2447894820204395</v>
      </c>
    </row>
    <row r="306" spans="1:13" ht="15.75" thickBot="1">
      <c r="A306" s="7"/>
      <c r="B306" s="105">
        <f>SUM(B303:B305)</f>
        <v>5896.0819999999994</v>
      </c>
      <c r="C306" s="107">
        <f>SUM(C303:C305)</f>
        <v>4390.45</v>
      </c>
      <c r="D306" s="109">
        <f>SUM(D303:D305)</f>
        <v>1064.9251000000002</v>
      </c>
      <c r="E306" s="101">
        <f t="shared" si="24"/>
        <v>11351.4571</v>
      </c>
      <c r="F306" s="123">
        <f t="shared" si="25"/>
        <v>0.24255488617339913</v>
      </c>
      <c r="G306" s="123">
        <f t="shared" si="26"/>
        <v>1.3429334122925896</v>
      </c>
      <c r="H306" s="123"/>
      <c r="I306" s="123"/>
      <c r="J306" s="123"/>
      <c r="K306" s="123"/>
      <c r="L306" s="98"/>
    </row>
    <row r="307" spans="1:13" ht="15.75" thickTop="1">
      <c r="A307" s="130"/>
      <c r="B307" s="123"/>
      <c r="C307" s="123"/>
      <c r="D307" s="123"/>
      <c r="E307" s="123"/>
      <c r="F307" s="124" t="s">
        <v>420</v>
      </c>
      <c r="G307" s="103">
        <f>AVERAGE(G303:G305)</f>
        <v>1.9214749069551997</v>
      </c>
      <c r="H307" s="123"/>
      <c r="I307" s="123"/>
      <c r="J307" s="123"/>
      <c r="K307" s="123"/>
      <c r="L307" s="98"/>
    </row>
    <row r="308" spans="1:13">
      <c r="A308" s="130"/>
      <c r="B308" s="123"/>
      <c r="C308" s="123"/>
      <c r="D308" s="123"/>
      <c r="E308" s="123"/>
      <c r="F308" s="123"/>
      <c r="G308" s="123"/>
      <c r="H308" s="123"/>
      <c r="I308" s="123"/>
      <c r="J308" s="123"/>
      <c r="K308" s="123"/>
      <c r="L308" s="98"/>
    </row>
    <row r="309" spans="1:13" ht="15.75" thickBot="1">
      <c r="A309" s="140" t="s">
        <v>254</v>
      </c>
      <c r="B309" s="123"/>
      <c r="C309" s="123"/>
      <c r="D309" s="123"/>
      <c r="E309" s="123"/>
      <c r="F309" s="123"/>
      <c r="G309" s="123"/>
      <c r="H309" s="123"/>
      <c r="I309" s="123"/>
      <c r="J309" s="124" t="s">
        <v>218</v>
      </c>
      <c r="K309" s="123"/>
      <c r="L309" s="98"/>
    </row>
    <row r="310" spans="1:13" ht="15.75" thickTop="1">
      <c r="A310" s="1"/>
      <c r="B310" s="2" t="s">
        <v>8</v>
      </c>
      <c r="C310" s="2" t="s">
        <v>9</v>
      </c>
      <c r="D310" s="2" t="s">
        <v>10</v>
      </c>
      <c r="E310" s="3" t="s">
        <v>11</v>
      </c>
      <c r="F310" s="103" t="s">
        <v>16</v>
      </c>
      <c r="G310" s="103" t="s">
        <v>172</v>
      </c>
      <c r="H310" s="124" t="s">
        <v>171</v>
      </c>
      <c r="I310" s="123"/>
      <c r="J310" s="123">
        <v>0.13</v>
      </c>
      <c r="K310" s="103" t="s">
        <v>212</v>
      </c>
      <c r="L310" s="98"/>
    </row>
    <row r="311" spans="1:13">
      <c r="A311" s="4" t="s">
        <v>3</v>
      </c>
      <c r="B311" s="100">
        <v>2134.7600000000002</v>
      </c>
      <c r="C311" s="5">
        <v>2934.34</v>
      </c>
      <c r="D311" s="5">
        <v>540.00800000000004</v>
      </c>
      <c r="E311" s="110">
        <f>SUM(B311:D311)</f>
        <v>5609.1080000000002</v>
      </c>
      <c r="F311" s="123">
        <f>D311/(B311+C311)</f>
        <v>0.10652936418693654</v>
      </c>
      <c r="G311" s="123">
        <f>B311/C311</f>
        <v>0.72750942290259479</v>
      </c>
      <c r="H311" s="125">
        <f>ABS((E314-E306)/E306)</f>
        <v>2.5547566047710434E-2</v>
      </c>
      <c r="I311" s="123"/>
      <c r="J311" s="123">
        <v>0.307</v>
      </c>
      <c r="K311" s="123" t="s">
        <v>213</v>
      </c>
      <c r="L311" s="98"/>
    </row>
    <row r="312" spans="1:13">
      <c r="A312" s="4" t="s">
        <v>4</v>
      </c>
      <c r="B312" s="5">
        <v>2797.55</v>
      </c>
      <c r="C312" s="5">
        <v>1167.48</v>
      </c>
      <c r="D312" s="5">
        <v>422.39299999999997</v>
      </c>
      <c r="E312" s="112">
        <f t="shared" ref="E312:E313" si="27">SUM(B312:D312)</f>
        <v>4387.4229999999998</v>
      </c>
      <c r="F312" s="123">
        <f t="shared" ref="F312:F314" si="28">D312/(B312+C312)</f>
        <v>0.10652958489595285</v>
      </c>
      <c r="G312" s="123">
        <f t="shared" ref="G312:G314" si="29">B312/C312</f>
        <v>2.3962294857299482</v>
      </c>
      <c r="H312" s="123"/>
      <c r="I312" s="123"/>
      <c r="J312" s="123">
        <v>0.23</v>
      </c>
      <c r="K312" s="123" t="s">
        <v>214</v>
      </c>
      <c r="L312" s="98"/>
    </row>
    <row r="313" spans="1:13">
      <c r="A313" s="4" t="s">
        <v>5</v>
      </c>
      <c r="B313" s="5">
        <v>676.79700000000003</v>
      </c>
      <c r="C313" s="5">
        <v>285.60300000000001</v>
      </c>
      <c r="D313" s="5">
        <v>102.524</v>
      </c>
      <c r="E313" s="108">
        <f t="shared" si="27"/>
        <v>1064.924</v>
      </c>
      <c r="F313" s="123">
        <f t="shared" si="28"/>
        <v>0.10652950955943474</v>
      </c>
      <c r="G313" s="123">
        <f t="shared" si="29"/>
        <v>2.3697125030199264</v>
      </c>
      <c r="H313" s="123"/>
      <c r="I313" s="123" t="s">
        <v>397</v>
      </c>
      <c r="J313" s="123"/>
      <c r="K313" s="103" t="s">
        <v>215</v>
      </c>
      <c r="L313" s="98"/>
    </row>
    <row r="314" spans="1:13" ht="15.75" thickBot="1">
      <c r="A314" s="7"/>
      <c r="B314" s="111">
        <f>SUM(B311:B313)</f>
        <v>5609.107</v>
      </c>
      <c r="C314" s="113">
        <f t="shared" ref="C314:D314" si="30">SUM(C311:C313)</f>
        <v>4387.4229999999998</v>
      </c>
      <c r="D314" s="109">
        <f t="shared" si="30"/>
        <v>1064.9250000000002</v>
      </c>
      <c r="E314" s="102">
        <f>SUM(E311:E313)</f>
        <v>11061.454999999998</v>
      </c>
      <c r="F314" s="123">
        <f t="shared" si="28"/>
        <v>0.10652946572460648</v>
      </c>
      <c r="G314" s="123">
        <f t="shared" si="29"/>
        <v>1.2784513825085935</v>
      </c>
      <c r="H314" s="123"/>
      <c r="I314" s="123" t="s">
        <v>398</v>
      </c>
      <c r="J314" s="123"/>
      <c r="K314" s="103" t="s">
        <v>216</v>
      </c>
      <c r="L314" s="98"/>
    </row>
    <row r="315" spans="1:13" ht="15.75" thickTop="1">
      <c r="A315" s="130"/>
      <c r="B315" s="123"/>
      <c r="C315" s="123"/>
      <c r="D315" s="123"/>
      <c r="E315" s="123"/>
      <c r="F315" s="124" t="s">
        <v>420</v>
      </c>
      <c r="G315" s="103">
        <f>AVERAGE(G311:G313)</f>
        <v>1.831150470550823</v>
      </c>
      <c r="H315" s="123"/>
      <c r="I315" s="123" t="s">
        <v>399</v>
      </c>
      <c r="J315" s="123"/>
      <c r="K315" s="103" t="s">
        <v>217</v>
      </c>
      <c r="L315" s="98"/>
    </row>
    <row r="316" spans="1:13">
      <c r="A316" s="130" t="s">
        <v>12</v>
      </c>
      <c r="B316" s="123">
        <f>B311/B303</f>
        <v>0.94984182354537749</v>
      </c>
      <c r="C316" s="123" t="s">
        <v>163</v>
      </c>
      <c r="D316" s="123">
        <f>C311/C303</f>
        <v>0.99931207345148421</v>
      </c>
      <c r="E316" s="124" t="s">
        <v>255</v>
      </c>
      <c r="F316" s="123"/>
      <c r="G316" s="123"/>
      <c r="H316" s="123"/>
      <c r="I316" s="123"/>
      <c r="J316" s="124" t="s">
        <v>423</v>
      </c>
      <c r="K316" s="123"/>
      <c r="L316" s="98"/>
    </row>
    <row r="317" spans="1:13">
      <c r="A317" s="130" t="s">
        <v>13</v>
      </c>
      <c r="B317" s="123">
        <f t="shared" ref="B317:B318" si="31">B312/B304</f>
        <v>0.95193940363210716</v>
      </c>
      <c r="C317" s="123" t="s">
        <v>164</v>
      </c>
      <c r="D317" s="123">
        <f t="shared" ref="D317:D318" si="32">C312/C304</f>
        <v>0.99930667899237346</v>
      </c>
      <c r="E317" s="123">
        <f>VAR(G303:G305)</f>
        <v>1.0026362756784284</v>
      </c>
      <c r="F317" s="124">
        <f>AVEDEV(G303:G305)/G307</f>
        <v>0.40110676914534149</v>
      </c>
      <c r="G317" s="124" t="s">
        <v>437</v>
      </c>
      <c r="H317" s="123"/>
      <c r="I317" s="123"/>
      <c r="J317" s="123" t="s">
        <v>415</v>
      </c>
      <c r="K317" s="123"/>
      <c r="L317" s="98"/>
    </row>
    <row r="318" spans="1:13">
      <c r="A318" s="130" t="s">
        <v>14</v>
      </c>
      <c r="B318" s="123">
        <f t="shared" si="31"/>
        <v>0.95350111721296926</v>
      </c>
      <c r="C318" s="123" t="s">
        <v>165</v>
      </c>
      <c r="D318" s="123">
        <f t="shared" si="32"/>
        <v>0.99931070678796363</v>
      </c>
      <c r="E318" s="123">
        <f>E317/G307</f>
        <v>0.52180555262479178</v>
      </c>
      <c r="F318" s="123"/>
      <c r="G318" s="124" t="s">
        <v>438</v>
      </c>
      <c r="H318" s="123"/>
      <c r="I318" s="123"/>
      <c r="J318" s="123" t="s">
        <v>403</v>
      </c>
      <c r="K318" s="123">
        <v>1</v>
      </c>
      <c r="L318" s="98" t="s">
        <v>416</v>
      </c>
    </row>
    <row r="319" spans="1:13">
      <c r="A319" s="130" t="s">
        <v>15</v>
      </c>
      <c r="B319" s="123">
        <f>E311/E303</f>
        <v>0.95132850153466386</v>
      </c>
      <c r="C319" s="123" t="s">
        <v>67</v>
      </c>
      <c r="D319" s="123">
        <f>E312/E304</f>
        <v>0.99930963859318422</v>
      </c>
      <c r="E319" s="124" t="s">
        <v>256</v>
      </c>
      <c r="F319" s="123"/>
      <c r="G319" s="123"/>
      <c r="H319" s="123"/>
      <c r="I319" s="123"/>
      <c r="J319" s="123" t="s">
        <v>401</v>
      </c>
      <c r="K319" s="123">
        <v>500</v>
      </c>
      <c r="L319" s="98" t="s">
        <v>417</v>
      </c>
    </row>
    <row r="320" spans="1:13">
      <c r="A320" s="130" t="s">
        <v>170</v>
      </c>
      <c r="B320" s="123">
        <f>VAR(B316:B318)</f>
        <v>3.3715369457618616E-6</v>
      </c>
      <c r="C320" s="123" t="s">
        <v>170</v>
      </c>
      <c r="D320" s="123">
        <f>VAR(D316:D318)</f>
        <v>7.8651825986827768E-12</v>
      </c>
      <c r="E320" s="123">
        <f>VAR(G311:G313)</f>
        <v>0.91369345913357058</v>
      </c>
      <c r="F320" s="124">
        <f>AVEDEV(G311:G313)/G315</f>
        <v>0.40180242435829439</v>
      </c>
      <c r="G320" s="124" t="s">
        <v>437</v>
      </c>
      <c r="H320" s="123"/>
      <c r="I320" s="123"/>
      <c r="J320" s="123"/>
      <c r="K320" s="123"/>
      <c r="L320" s="98"/>
    </row>
    <row r="321" spans="1:13">
      <c r="A321" s="130"/>
      <c r="B321" s="123"/>
      <c r="C321" s="123"/>
      <c r="D321" s="123"/>
      <c r="E321" s="123">
        <f>E320/G315</f>
        <v>0.49897235307960525</v>
      </c>
      <c r="F321" s="123"/>
      <c r="G321" s="124" t="s">
        <v>438</v>
      </c>
      <c r="H321" s="123"/>
      <c r="I321" s="123"/>
      <c r="J321" s="123"/>
      <c r="K321" s="123"/>
      <c r="L321" s="98"/>
    </row>
    <row r="322" spans="1:13">
      <c r="A322" s="130"/>
      <c r="B322" s="123"/>
      <c r="C322" s="123"/>
      <c r="D322" s="123" t="s">
        <v>444</v>
      </c>
      <c r="E322" s="123"/>
      <c r="F322" s="123"/>
      <c r="G322" s="123"/>
      <c r="H322" s="123"/>
      <c r="I322" s="123"/>
      <c r="J322" s="123"/>
      <c r="K322" s="123"/>
      <c r="L322" s="98"/>
    </row>
    <row r="323" spans="1:13">
      <c r="A323" s="130"/>
      <c r="B323" s="123">
        <f>B316</f>
        <v>0.94984182354537749</v>
      </c>
      <c r="C323" s="123"/>
      <c r="D323" s="123">
        <f>ABS(C311-B312)/C311</f>
        <v>4.6616956453580688E-2</v>
      </c>
      <c r="E323" s="123" t="s">
        <v>446</v>
      </c>
      <c r="F323" s="123"/>
      <c r="G323" s="123"/>
      <c r="H323" s="123"/>
      <c r="I323" s="123"/>
      <c r="J323" s="123"/>
      <c r="K323" s="123"/>
      <c r="L323" s="98"/>
    </row>
    <row r="324" spans="1:13">
      <c r="A324" s="130"/>
      <c r="B324" s="123">
        <f t="shared" ref="B324:B325" si="33">B317</f>
        <v>0.95193940363210716</v>
      </c>
      <c r="C324" s="123"/>
      <c r="D324" s="123">
        <f>ABS((C303-B304)/C303)</f>
        <v>8.2755520440267415E-4</v>
      </c>
      <c r="E324" s="123" t="s">
        <v>445</v>
      </c>
      <c r="F324" s="123"/>
      <c r="G324" s="123"/>
      <c r="H324" s="123"/>
      <c r="I324" s="123"/>
      <c r="J324" s="123"/>
      <c r="K324" s="123"/>
      <c r="L324" s="98"/>
    </row>
    <row r="325" spans="1:13">
      <c r="A325" s="130"/>
      <c r="B325" s="123">
        <f t="shared" si="33"/>
        <v>0.95350111721296926</v>
      </c>
      <c r="C325" s="123"/>
      <c r="D325" s="123"/>
      <c r="E325" s="123"/>
      <c r="F325" s="123"/>
      <c r="G325" s="123"/>
      <c r="H325" s="123"/>
      <c r="I325" s="123"/>
      <c r="J325" s="123"/>
      <c r="K325" s="123"/>
      <c r="L325" s="98"/>
    </row>
    <row r="326" spans="1:13">
      <c r="A326" s="130"/>
      <c r="B326" s="123">
        <f>D316</f>
        <v>0.99931207345148421</v>
      </c>
      <c r="C326" s="123"/>
      <c r="D326" s="123"/>
      <c r="E326" s="123"/>
      <c r="F326" s="123"/>
      <c r="G326" s="123"/>
      <c r="H326" s="123"/>
      <c r="I326" s="123"/>
      <c r="J326" s="123"/>
      <c r="K326" s="123"/>
      <c r="L326" s="98"/>
    </row>
    <row r="327" spans="1:13">
      <c r="A327" s="130"/>
      <c r="B327" s="123">
        <f t="shared" ref="B327:B328" si="34">D317</f>
        <v>0.99930667899237346</v>
      </c>
      <c r="C327" s="123"/>
      <c r="D327" s="123"/>
      <c r="E327" s="123"/>
      <c r="F327" s="123"/>
      <c r="G327" s="123"/>
      <c r="H327" s="123"/>
      <c r="I327" s="123"/>
      <c r="J327" s="123"/>
      <c r="K327" s="123"/>
      <c r="L327" s="98"/>
    </row>
    <row r="328" spans="1:13">
      <c r="A328" s="130"/>
      <c r="B328" s="123">
        <f t="shared" si="34"/>
        <v>0.99931070678796363</v>
      </c>
      <c r="C328" s="123"/>
      <c r="D328" s="123"/>
      <c r="E328" s="123"/>
      <c r="F328" s="123"/>
      <c r="G328" s="123"/>
      <c r="H328" s="123"/>
      <c r="I328" s="123"/>
      <c r="J328" s="123"/>
      <c r="K328" s="123"/>
      <c r="L328" s="98"/>
    </row>
    <row r="329" spans="1:13" ht="15.75" thickBot="1">
      <c r="A329" s="131" t="s">
        <v>170</v>
      </c>
      <c r="B329" s="126">
        <f>VAR(B323:B328)</f>
        <v>6.79621930343253E-4</v>
      </c>
      <c r="C329" s="126"/>
      <c r="D329" s="126"/>
      <c r="E329" s="126"/>
      <c r="F329" s="126"/>
      <c r="G329" s="126"/>
      <c r="H329" s="126"/>
      <c r="I329" s="126"/>
      <c r="J329" s="126"/>
      <c r="K329" s="126"/>
      <c r="L329" s="127"/>
    </row>
    <row r="330" spans="1:13" ht="15.75" thickTop="1">
      <c r="A330" s="128"/>
      <c r="B330" s="121"/>
      <c r="C330" s="121"/>
      <c r="D330" s="121"/>
      <c r="E330" s="121"/>
      <c r="F330" s="133" t="s">
        <v>239</v>
      </c>
      <c r="G330" s="121"/>
      <c r="H330" s="121"/>
      <c r="I330" s="129" t="s">
        <v>424</v>
      </c>
      <c r="J330" s="121"/>
      <c r="K330" s="121"/>
      <c r="L330" s="122"/>
    </row>
    <row r="331" spans="1:13" ht="15.75" thickBot="1">
      <c r="A331" s="130" t="s">
        <v>167</v>
      </c>
      <c r="B331" s="123"/>
      <c r="C331" s="123"/>
      <c r="D331" s="123"/>
      <c r="E331" s="123"/>
      <c r="F331" s="123"/>
      <c r="G331" s="123"/>
      <c r="H331" s="123" t="s">
        <v>168</v>
      </c>
      <c r="I331" s="123"/>
      <c r="J331" s="123"/>
      <c r="K331" s="123"/>
      <c r="L331" s="98"/>
    </row>
    <row r="332" spans="1:13" ht="15.75" thickTop="1">
      <c r="A332" s="1"/>
      <c r="B332" s="2" t="s">
        <v>0</v>
      </c>
      <c r="C332" s="2" t="s">
        <v>1</v>
      </c>
      <c r="D332" s="2" t="s">
        <v>2</v>
      </c>
      <c r="E332" s="3" t="s">
        <v>6</v>
      </c>
      <c r="F332" s="103" t="s">
        <v>70</v>
      </c>
      <c r="G332" s="103" t="s">
        <v>172</v>
      </c>
      <c r="H332" s="123" t="s">
        <v>3</v>
      </c>
      <c r="I332" s="123">
        <v>30</v>
      </c>
      <c r="J332" s="123"/>
      <c r="K332" s="123" t="s">
        <v>19</v>
      </c>
      <c r="L332" s="123">
        <v>0.13179299999999999</v>
      </c>
    </row>
    <row r="333" spans="1:13">
      <c r="A333" s="4" t="s">
        <v>3</v>
      </c>
      <c r="B333" s="100">
        <v>36295.300000000003</v>
      </c>
      <c r="C333" s="5">
        <v>19171.2</v>
      </c>
      <c r="D333" s="5">
        <v>8352.77</v>
      </c>
      <c r="E333" s="104">
        <f>SUM(B333:D333)</f>
        <v>63819.270000000004</v>
      </c>
      <c r="F333" s="123">
        <f>D333/C333</f>
        <v>0.43569364463361709</v>
      </c>
      <c r="G333" s="123">
        <f>B333/C333</f>
        <v>1.8932200383909199</v>
      </c>
      <c r="H333" s="123" t="s">
        <v>4</v>
      </c>
      <c r="I333" s="123">
        <v>60</v>
      </c>
      <c r="J333" s="123"/>
      <c r="K333" s="123"/>
      <c r="L333" s="98"/>
      <c r="M333">
        <v>1</v>
      </c>
    </row>
    <row r="334" spans="1:13">
      <c r="A334" s="4" t="s">
        <v>4</v>
      </c>
      <c r="B334" s="5">
        <v>19800.3</v>
      </c>
      <c r="C334" s="5">
        <v>5245.05</v>
      </c>
      <c r="D334" s="5">
        <v>2285.2399999999998</v>
      </c>
      <c r="E334" s="106">
        <f t="shared" ref="E334:E336" si="35">SUM(B334:D334)</f>
        <v>27330.589999999997</v>
      </c>
      <c r="F334" s="123">
        <f t="shared" ref="F334:F336" si="36">D334/C334</f>
        <v>0.43569460729640319</v>
      </c>
      <c r="G334" s="123">
        <f t="shared" ref="G334:G336" si="37">B334/C334</f>
        <v>3.7750450424686131</v>
      </c>
      <c r="H334" s="123" t="s">
        <v>5</v>
      </c>
      <c r="I334" s="123">
        <v>25</v>
      </c>
      <c r="J334" s="123"/>
      <c r="K334" s="123"/>
      <c r="L334" s="98"/>
      <c r="M334">
        <f>G334/G333</f>
        <v>1.9939811357992432</v>
      </c>
    </row>
    <row r="335" spans="1:13">
      <c r="A335" s="4" t="s">
        <v>5</v>
      </c>
      <c r="B335" s="5">
        <v>7723.67</v>
      </c>
      <c r="C335" s="5">
        <v>2914.34</v>
      </c>
      <c r="D335" s="5">
        <v>1269.76</v>
      </c>
      <c r="E335" s="108">
        <f t="shared" si="35"/>
        <v>11907.77</v>
      </c>
      <c r="F335" s="123">
        <f t="shared" si="36"/>
        <v>0.43569384491857505</v>
      </c>
      <c r="G335" s="123">
        <f t="shared" si="37"/>
        <v>2.6502295545475132</v>
      </c>
      <c r="H335" s="123"/>
      <c r="I335" s="123"/>
      <c r="J335" s="123"/>
      <c r="K335" s="123"/>
      <c r="L335" s="98"/>
      <c r="M335">
        <f>G335/G333</f>
        <v>1.3998528965497263</v>
      </c>
    </row>
    <row r="336" spans="1:13" ht="15.75" thickBot="1">
      <c r="A336" s="7"/>
      <c r="B336" s="105">
        <f>SUM(B333:B335)</f>
        <v>63819.270000000004</v>
      </c>
      <c r="C336" s="107">
        <f>SUM(C333:C335)</f>
        <v>27330.59</v>
      </c>
      <c r="D336" s="109">
        <f>SUM(D333:D335)</f>
        <v>11907.77</v>
      </c>
      <c r="E336" s="101">
        <f t="shared" si="35"/>
        <v>103057.63</v>
      </c>
      <c r="F336" s="123">
        <f t="shared" si="36"/>
        <v>0.43569385073648248</v>
      </c>
      <c r="G336" s="123">
        <f t="shared" si="37"/>
        <v>2.3350857043334958</v>
      </c>
      <c r="H336" s="123"/>
      <c r="I336" s="123"/>
      <c r="J336" s="123"/>
      <c r="K336" s="123"/>
      <c r="L336" s="98"/>
    </row>
    <row r="337" spans="1:12" ht="15.75" thickTop="1">
      <c r="A337" s="130"/>
      <c r="B337" s="123"/>
      <c r="C337" s="123"/>
      <c r="D337" s="123"/>
      <c r="E337" s="123"/>
      <c r="F337" s="124" t="s">
        <v>420</v>
      </c>
      <c r="G337" s="103">
        <f>AVERAGE(G333:G335)</f>
        <v>2.772831545135682</v>
      </c>
      <c r="H337" s="123"/>
      <c r="I337" s="123"/>
      <c r="J337" s="123"/>
      <c r="K337" s="123"/>
      <c r="L337" s="98"/>
    </row>
    <row r="338" spans="1:12">
      <c r="A338" s="130"/>
      <c r="B338" s="123"/>
      <c r="C338" s="123"/>
      <c r="D338" s="123"/>
      <c r="E338" s="123"/>
      <c r="F338" s="123"/>
      <c r="G338" s="123"/>
      <c r="H338" s="123"/>
      <c r="I338" s="123"/>
      <c r="J338" s="123" t="s">
        <v>419</v>
      </c>
      <c r="K338" s="123">
        <v>0.3</v>
      </c>
      <c r="L338" s="98"/>
    </row>
    <row r="339" spans="1:12" ht="15.75" thickBot="1">
      <c r="A339" s="140" t="s">
        <v>254</v>
      </c>
      <c r="B339" s="123"/>
      <c r="C339" s="123"/>
      <c r="D339" s="123"/>
      <c r="E339" s="123"/>
      <c r="F339" s="123"/>
      <c r="G339" s="123"/>
      <c r="H339" s="123"/>
      <c r="I339" s="123"/>
      <c r="J339" s="124" t="s">
        <v>218</v>
      </c>
      <c r="K339" s="123"/>
      <c r="L339" s="98"/>
    </row>
    <row r="340" spans="1:12" ht="15.75" thickTop="1">
      <c r="A340" s="1"/>
      <c r="B340" s="2" t="s">
        <v>8</v>
      </c>
      <c r="C340" s="2" t="s">
        <v>9</v>
      </c>
      <c r="D340" s="2" t="s">
        <v>10</v>
      </c>
      <c r="E340" s="3" t="s">
        <v>11</v>
      </c>
      <c r="F340" s="103" t="s">
        <v>16</v>
      </c>
      <c r="G340" s="103" t="s">
        <v>172</v>
      </c>
      <c r="H340" s="124" t="s">
        <v>171</v>
      </c>
      <c r="I340" s="123"/>
      <c r="J340" s="123">
        <f>0.13*0.3</f>
        <v>3.9E-2</v>
      </c>
      <c r="K340" s="103" t="s">
        <v>212</v>
      </c>
      <c r="L340" s="98"/>
    </row>
    <row r="341" spans="1:12">
      <c r="A341" s="4" t="s">
        <v>3</v>
      </c>
      <c r="B341" s="100">
        <v>35492.300000000003</v>
      </c>
      <c r="C341" s="5">
        <v>19622.3</v>
      </c>
      <c r="D341" s="5">
        <v>7263.72</v>
      </c>
      <c r="E341" s="110">
        <f>SUM(B341:D341)</f>
        <v>62378.320000000007</v>
      </c>
      <c r="F341" s="123">
        <f>D341/(B341+C341)</f>
        <v>0.13179302761881606</v>
      </c>
      <c r="G341" s="123">
        <f>B341/C341</f>
        <v>1.8087736911575099</v>
      </c>
      <c r="H341" s="125">
        <f>ABS((E344-E336)/E336)</f>
        <v>7.7415907973043983E-3</v>
      </c>
      <c r="I341" s="123"/>
      <c r="J341" s="123">
        <f>0.307*0.3</f>
        <v>9.2100000000000001E-2</v>
      </c>
      <c r="K341" s="123" t="s">
        <v>213</v>
      </c>
      <c r="L341" s="98"/>
    </row>
    <row r="342" spans="1:12">
      <c r="A342" s="4" t="s">
        <v>4</v>
      </c>
      <c r="B342" s="5">
        <v>19347.8</v>
      </c>
      <c r="C342" s="5">
        <v>5368.48</v>
      </c>
      <c r="D342" s="5">
        <v>3257.43</v>
      </c>
      <c r="E342" s="112">
        <f t="shared" ref="E342:E343" si="38">SUM(B342:D342)</f>
        <v>27973.71</v>
      </c>
      <c r="F342" s="123">
        <f t="shared" ref="F342:F344" si="39">D342/(B342+C342)</f>
        <v>0.13179289116323331</v>
      </c>
      <c r="G342" s="123">
        <f t="shared" ref="G342:G344" si="40">B342/C342</f>
        <v>3.6039623878639766</v>
      </c>
      <c r="H342" s="123"/>
      <c r="I342" s="123"/>
      <c r="J342" s="123">
        <f>0.23*0.3</f>
        <v>6.9000000000000006E-2</v>
      </c>
      <c r="K342" s="123" t="s">
        <v>214</v>
      </c>
      <c r="L342" s="98"/>
    </row>
    <row r="343" spans="1:12">
      <c r="A343" s="4" t="s">
        <v>5</v>
      </c>
      <c r="B343" s="5">
        <v>7538.24</v>
      </c>
      <c r="C343" s="5">
        <v>2982.92</v>
      </c>
      <c r="D343" s="5">
        <v>1386.61</v>
      </c>
      <c r="E343" s="108">
        <f t="shared" si="38"/>
        <v>11907.77</v>
      </c>
      <c r="F343" s="123">
        <f t="shared" si="39"/>
        <v>0.13179250196746364</v>
      </c>
      <c r="G343" s="123">
        <f t="shared" si="40"/>
        <v>2.5271344856717577</v>
      </c>
      <c r="H343" s="123"/>
      <c r="I343" s="123" t="s">
        <v>397</v>
      </c>
      <c r="J343" s="123"/>
      <c r="K343" s="103" t="s">
        <v>215</v>
      </c>
      <c r="L343" s="98"/>
    </row>
    <row r="344" spans="1:12" ht="15.75" thickBot="1">
      <c r="A344" s="7"/>
      <c r="B344" s="111">
        <f>SUM(B341:B343)</f>
        <v>62378.340000000004</v>
      </c>
      <c r="C344" s="113">
        <f t="shared" ref="C344:D344" si="41">SUM(C341:C343)</f>
        <v>27973.699999999997</v>
      </c>
      <c r="D344" s="109">
        <f t="shared" si="41"/>
        <v>11907.76</v>
      </c>
      <c r="E344" s="102">
        <f>SUM(E341:E343)</f>
        <v>102259.8</v>
      </c>
      <c r="F344" s="123">
        <f t="shared" si="39"/>
        <v>0.1317929290805166</v>
      </c>
      <c r="G344" s="123">
        <f t="shared" si="40"/>
        <v>2.2298923631839909</v>
      </c>
      <c r="H344" s="123"/>
      <c r="I344" s="123" t="s">
        <v>398</v>
      </c>
      <c r="J344" s="123"/>
      <c r="K344" s="103" t="s">
        <v>216</v>
      </c>
      <c r="L344" s="98"/>
    </row>
    <row r="345" spans="1:12" ht="15.75" thickTop="1">
      <c r="A345" s="130"/>
      <c r="B345" s="123"/>
      <c r="C345" s="123"/>
      <c r="D345" s="123"/>
      <c r="E345" s="123"/>
      <c r="F345" s="124" t="s">
        <v>420</v>
      </c>
      <c r="G345" s="103">
        <f>AVERAGE(G341:G343)</f>
        <v>2.6466235215644147</v>
      </c>
      <c r="H345" s="123"/>
      <c r="I345" s="123" t="s">
        <v>399</v>
      </c>
      <c r="J345" s="123"/>
      <c r="K345" s="103" t="s">
        <v>217</v>
      </c>
      <c r="L345" s="98"/>
    </row>
    <row r="346" spans="1:12">
      <c r="A346" s="130" t="s">
        <v>12</v>
      </c>
      <c r="B346" s="123">
        <f>B341/B333</f>
        <v>0.97787592332891582</v>
      </c>
      <c r="C346" s="123" t="s">
        <v>163</v>
      </c>
      <c r="D346" s="123">
        <f>C341/C333</f>
        <v>1.023530086796862</v>
      </c>
      <c r="E346" s="124" t="s">
        <v>255</v>
      </c>
      <c r="F346" s="123"/>
      <c r="G346" s="123"/>
      <c r="H346" s="123"/>
      <c r="I346" s="123"/>
      <c r="J346" s="124" t="s">
        <v>423</v>
      </c>
      <c r="K346" s="123"/>
      <c r="L346" s="98"/>
    </row>
    <row r="347" spans="1:12">
      <c r="A347" s="130" t="s">
        <v>13</v>
      </c>
      <c r="B347" s="123">
        <f t="shared" ref="B347:B348" si="42">B342/B334</f>
        <v>0.97714681090690547</v>
      </c>
      <c r="C347" s="123" t="s">
        <v>164</v>
      </c>
      <c r="D347" s="123">
        <f t="shared" ref="D347:D348" si="43">C342/C334</f>
        <v>1.0235326641309423</v>
      </c>
      <c r="E347" s="123">
        <f>VAR(G333:G335)</f>
        <v>0.89658977256514127</v>
      </c>
      <c r="F347" s="124">
        <f>AVEDEV(G333:G335)/G337</f>
        <v>0.24096030381917535</v>
      </c>
      <c r="G347" s="124" t="s">
        <v>437</v>
      </c>
      <c r="H347" s="123"/>
      <c r="I347" s="123"/>
      <c r="J347" s="123" t="s">
        <v>415</v>
      </c>
      <c r="K347" s="123"/>
      <c r="L347" s="98"/>
    </row>
    <row r="348" spans="1:12">
      <c r="A348" s="130" t="s">
        <v>14</v>
      </c>
      <c r="B348" s="123">
        <f t="shared" si="42"/>
        <v>0.97599198308576096</v>
      </c>
      <c r="C348" s="123" t="s">
        <v>165</v>
      </c>
      <c r="D348" s="123">
        <f t="shared" si="43"/>
        <v>1.0235319146015907</v>
      </c>
      <c r="E348" s="123">
        <f>E347/G337</f>
        <v>0.32334808587200659</v>
      </c>
      <c r="F348" s="123"/>
      <c r="G348" s="124" t="s">
        <v>438</v>
      </c>
      <c r="H348" s="123"/>
      <c r="I348" s="123"/>
      <c r="J348" s="123" t="s">
        <v>403</v>
      </c>
      <c r="K348" s="123">
        <v>1</v>
      </c>
      <c r="L348" s="98" t="s">
        <v>416</v>
      </c>
    </row>
    <row r="349" spans="1:12">
      <c r="A349" s="130" t="s">
        <v>15</v>
      </c>
      <c r="B349" s="123">
        <f>E341/E333</f>
        <v>0.97742139639014991</v>
      </c>
      <c r="C349" s="123" t="s">
        <v>67</v>
      </c>
      <c r="D349" s="123">
        <f>E342/E334</f>
        <v>1.0235311422109805</v>
      </c>
      <c r="E349" s="124" t="s">
        <v>256</v>
      </c>
      <c r="F349" s="123"/>
      <c r="G349" s="123"/>
      <c r="H349" s="123"/>
      <c r="I349" s="123"/>
      <c r="J349" s="123" t="s">
        <v>401</v>
      </c>
      <c r="K349" s="123">
        <v>500</v>
      </c>
      <c r="L349" s="98" t="s">
        <v>417</v>
      </c>
    </row>
    <row r="350" spans="1:12">
      <c r="A350" s="130" t="s">
        <v>170</v>
      </c>
      <c r="B350" s="123">
        <f>VAR(B346:B348)</f>
        <v>9.0241051003292633E-7</v>
      </c>
      <c r="C350" s="123" t="s">
        <v>170</v>
      </c>
      <c r="D350" s="123">
        <f>VAR(D346:D348)</f>
        <v>1.7575525561875614E-12</v>
      </c>
      <c r="E350" s="123">
        <f>VAR(G341:G343)</f>
        <v>0.81638383646958346</v>
      </c>
      <c r="F350" s="124">
        <f>AVEDEV(G341:G343)/G345</f>
        <v>0.24114722236320196</v>
      </c>
      <c r="G350" s="124" t="s">
        <v>437</v>
      </c>
      <c r="H350" s="123"/>
      <c r="I350" s="123"/>
      <c r="J350" s="123"/>
      <c r="K350" s="123"/>
      <c r="L350" s="98"/>
    </row>
    <row r="351" spans="1:12">
      <c r="A351" s="130"/>
      <c r="B351" s="123"/>
      <c r="C351" s="123"/>
      <c r="D351" s="123"/>
      <c r="E351" s="123">
        <f>E350/G345</f>
        <v>0.30846239739720155</v>
      </c>
      <c r="F351" s="123"/>
      <c r="G351" s="124" t="s">
        <v>438</v>
      </c>
      <c r="H351" s="123"/>
      <c r="I351" s="123"/>
      <c r="J351" s="123"/>
      <c r="K351" s="123"/>
      <c r="L351" s="98"/>
    </row>
    <row r="352" spans="1:12">
      <c r="A352" s="130"/>
      <c r="B352" s="123"/>
      <c r="C352" s="123"/>
      <c r="D352" s="123" t="s">
        <v>444</v>
      </c>
      <c r="E352" s="123"/>
      <c r="F352" s="123"/>
      <c r="G352" s="123"/>
      <c r="H352" s="123"/>
      <c r="I352" s="123"/>
      <c r="J352" s="123"/>
      <c r="K352" s="123"/>
      <c r="L352" s="98"/>
    </row>
    <row r="353" spans="1:13">
      <c r="A353" s="130"/>
      <c r="B353" s="123">
        <f>B346</f>
        <v>0.97787592332891582</v>
      </c>
      <c r="C353" s="123"/>
      <c r="D353" s="123">
        <f>ABS(C341-B342)/C341</f>
        <v>1.3989185773329325E-2</v>
      </c>
      <c r="E353" s="123" t="s">
        <v>446</v>
      </c>
      <c r="F353" s="123"/>
      <c r="G353" s="123"/>
      <c r="H353" s="123"/>
      <c r="I353" s="123"/>
      <c r="J353" s="123"/>
      <c r="K353" s="123"/>
      <c r="L353" s="98"/>
    </row>
    <row r="354" spans="1:13">
      <c r="A354" s="130"/>
      <c r="B354" s="123">
        <f t="shared" ref="B354:B355" si="44">B347</f>
        <v>0.97714681090690547</v>
      </c>
      <c r="C354" s="123"/>
      <c r="D354" s="123">
        <f>ABS((C333-B334)/C333)</f>
        <v>3.2814847270906285E-2</v>
      </c>
      <c r="E354" s="123" t="s">
        <v>445</v>
      </c>
      <c r="F354" s="123"/>
      <c r="G354" s="123"/>
      <c r="H354" s="123"/>
      <c r="I354" s="123"/>
      <c r="J354" s="123"/>
      <c r="K354" s="123"/>
      <c r="L354" s="98"/>
    </row>
    <row r="355" spans="1:13">
      <c r="A355" s="130"/>
      <c r="B355" s="123">
        <f t="shared" si="44"/>
        <v>0.97599198308576096</v>
      </c>
      <c r="C355" s="123"/>
      <c r="D355" s="123"/>
      <c r="E355" s="123"/>
      <c r="F355" s="123"/>
      <c r="G355" s="123"/>
      <c r="H355" s="123"/>
      <c r="I355" s="123"/>
      <c r="J355" s="123"/>
      <c r="K355" s="123"/>
      <c r="L355" s="98"/>
    </row>
    <row r="356" spans="1:13">
      <c r="A356" s="130"/>
      <c r="B356" s="123">
        <f>D346</f>
        <v>1.023530086796862</v>
      </c>
      <c r="C356" s="123"/>
      <c r="D356" s="123"/>
      <c r="E356" s="123"/>
      <c r="F356" s="123"/>
      <c r="G356" s="123"/>
      <c r="H356" s="123"/>
      <c r="I356" s="123"/>
      <c r="J356" s="123"/>
      <c r="K356" s="123"/>
      <c r="L356" s="98"/>
    </row>
    <row r="357" spans="1:13">
      <c r="A357" s="130"/>
      <c r="B357" s="123">
        <f t="shared" ref="B357:B358" si="45">D347</f>
        <v>1.0235326641309423</v>
      </c>
      <c r="C357" s="123"/>
      <c r="D357" s="123"/>
      <c r="E357" s="123"/>
      <c r="F357" s="123"/>
      <c r="G357" s="123"/>
      <c r="H357" s="123"/>
      <c r="I357" s="123"/>
      <c r="J357" s="123"/>
      <c r="K357" s="123"/>
      <c r="L357" s="98"/>
    </row>
    <row r="358" spans="1:13">
      <c r="A358" s="130"/>
      <c r="B358" s="123">
        <f t="shared" si="45"/>
        <v>1.0235319146015907</v>
      </c>
      <c r="C358" s="123"/>
      <c r="D358" s="123"/>
      <c r="E358" s="123"/>
      <c r="F358" s="123"/>
      <c r="G358" s="123"/>
      <c r="H358" s="123"/>
      <c r="I358" s="123"/>
      <c r="J358" s="123"/>
      <c r="K358" s="123"/>
      <c r="L358" s="98"/>
    </row>
    <row r="359" spans="1:13" ht="15.75" thickBot="1">
      <c r="A359" s="131" t="s">
        <v>170</v>
      </c>
      <c r="B359" s="126">
        <f>VAR(B353:B358)</f>
        <v>6.4977969629689022E-4</v>
      </c>
      <c r="C359" s="126"/>
      <c r="D359" s="126"/>
      <c r="E359" s="126"/>
      <c r="F359" s="126"/>
      <c r="G359" s="126"/>
      <c r="H359" s="126"/>
      <c r="I359" s="126"/>
      <c r="J359" s="126"/>
      <c r="K359" s="126"/>
      <c r="L359" s="127"/>
    </row>
    <row r="360" spans="1:13" ht="15.75" thickTop="1">
      <c r="A360" s="128"/>
      <c r="B360" s="121"/>
      <c r="C360" s="121"/>
      <c r="D360" s="121"/>
      <c r="E360" s="121"/>
      <c r="F360" s="133" t="s">
        <v>239</v>
      </c>
      <c r="G360" s="121"/>
      <c r="H360" s="121"/>
      <c r="I360" s="129" t="s">
        <v>428</v>
      </c>
      <c r="J360" s="121"/>
      <c r="K360" s="121"/>
      <c r="L360" s="122"/>
    </row>
    <row r="361" spans="1:13" ht="15.75" thickBot="1">
      <c r="A361" s="130" t="s">
        <v>167</v>
      </c>
      <c r="B361" s="123"/>
      <c r="C361" s="123"/>
      <c r="D361" s="123"/>
      <c r="E361" s="123"/>
      <c r="F361" s="123"/>
      <c r="G361" s="123"/>
      <c r="H361" s="123" t="s">
        <v>168</v>
      </c>
      <c r="I361" s="123"/>
      <c r="J361" s="123"/>
      <c r="K361" s="123"/>
      <c r="L361" s="98"/>
    </row>
    <row r="362" spans="1:13" ht="15.75" thickTop="1">
      <c r="A362" s="1"/>
      <c r="B362" s="2" t="s">
        <v>0</v>
      </c>
      <c r="C362" s="2" t="s">
        <v>1</v>
      </c>
      <c r="D362" s="2" t="s">
        <v>2</v>
      </c>
      <c r="E362" s="3" t="s">
        <v>6</v>
      </c>
      <c r="F362" s="103" t="s">
        <v>70</v>
      </c>
      <c r="G362" s="103" t="s">
        <v>172</v>
      </c>
      <c r="H362" s="123" t="s">
        <v>3</v>
      </c>
      <c r="I362" s="123">
        <v>250</v>
      </c>
      <c r="J362" s="123"/>
      <c r="K362" s="123" t="s">
        <v>19</v>
      </c>
      <c r="L362" s="123">
        <v>0.136937</v>
      </c>
    </row>
    <row r="363" spans="1:13">
      <c r="A363" s="4" t="s">
        <v>3</v>
      </c>
      <c r="B363" s="100">
        <v>23328.7</v>
      </c>
      <c r="C363" s="5">
        <v>38356.199999999997</v>
      </c>
      <c r="D363" s="5">
        <v>9984.73</v>
      </c>
      <c r="E363" s="104">
        <f>SUM(B363:D363)</f>
        <v>71669.62999999999</v>
      </c>
      <c r="F363" s="123">
        <f>D363/C363</f>
        <v>0.26031593327806196</v>
      </c>
      <c r="G363" s="123">
        <f>B363/C363</f>
        <v>0.60821197094602708</v>
      </c>
      <c r="H363" s="123" t="s">
        <v>4</v>
      </c>
      <c r="I363" s="123">
        <v>300</v>
      </c>
      <c r="J363" s="123"/>
      <c r="K363" s="123"/>
      <c r="L363" s="98"/>
      <c r="M363">
        <v>1</v>
      </c>
    </row>
    <row r="364" spans="1:13">
      <c r="A364" s="4" t="s">
        <v>4</v>
      </c>
      <c r="B364" s="5">
        <v>39067.1</v>
      </c>
      <c r="C364" s="5">
        <v>31091.200000000001</v>
      </c>
      <c r="D364" s="5">
        <v>8093.53</v>
      </c>
      <c r="E364" s="106">
        <f t="shared" ref="E364:E366" si="46">SUM(B364:D364)</f>
        <v>78251.83</v>
      </c>
      <c r="F364" s="123">
        <f t="shared" ref="F364:F366" si="47">D364/C364</f>
        <v>0.26031578067105804</v>
      </c>
      <c r="G364" s="123">
        <f t="shared" ref="G364:G366" si="48">B364/C364</f>
        <v>1.2565323950185261</v>
      </c>
      <c r="H364" s="123" t="s">
        <v>5</v>
      </c>
      <c r="I364" s="123">
        <v>100</v>
      </c>
      <c r="J364" s="123"/>
      <c r="K364" s="123"/>
      <c r="L364" s="98"/>
      <c r="M364">
        <f>G364/G363</f>
        <v>2.0659448597568479</v>
      </c>
    </row>
    <row r="365" spans="1:13">
      <c r="A365" s="4" t="s">
        <v>5</v>
      </c>
      <c r="B365" s="5">
        <v>9273.7900000000009</v>
      </c>
      <c r="C365" s="5">
        <v>8804.4699999999993</v>
      </c>
      <c r="D365" s="5">
        <v>2291.94</v>
      </c>
      <c r="E365" s="108">
        <f t="shared" si="46"/>
        <v>20370.2</v>
      </c>
      <c r="F365" s="123">
        <f t="shared" si="47"/>
        <v>0.26031549883184341</v>
      </c>
      <c r="G365" s="123">
        <f t="shared" si="48"/>
        <v>1.0533047417959289</v>
      </c>
      <c r="H365" s="123"/>
      <c r="I365" s="123"/>
      <c r="J365" s="123"/>
      <c r="K365" s="123"/>
      <c r="L365" s="98"/>
      <c r="M365">
        <f>G365/G363</f>
        <v>1.7318053443729398</v>
      </c>
    </row>
    <row r="366" spans="1:13" ht="15.75" thickBot="1">
      <c r="A366" s="7"/>
      <c r="B366" s="105">
        <f>SUM(B363:B365)</f>
        <v>71669.59</v>
      </c>
      <c r="C366" s="107">
        <f>SUM(C363:C365)</f>
        <v>78251.87</v>
      </c>
      <c r="D366" s="109">
        <f>SUM(D363:D365)</f>
        <v>20370.199999999997</v>
      </c>
      <c r="E366" s="101">
        <f t="shared" si="46"/>
        <v>170291.65999999997</v>
      </c>
      <c r="F366" s="123">
        <f t="shared" si="47"/>
        <v>0.26031582376242252</v>
      </c>
      <c r="G366" s="123">
        <f t="shared" si="48"/>
        <v>0.91588341594903744</v>
      </c>
      <c r="H366" s="123"/>
      <c r="I366" s="123"/>
      <c r="J366" s="123"/>
      <c r="K366" s="123"/>
      <c r="L366" s="98"/>
    </row>
    <row r="367" spans="1:13" ht="15.75" thickTop="1">
      <c r="A367" s="130"/>
      <c r="B367" s="123"/>
      <c r="C367" s="123"/>
      <c r="D367" s="123"/>
      <c r="E367" s="123"/>
      <c r="F367" s="124" t="s">
        <v>420</v>
      </c>
      <c r="G367" s="103">
        <f>AVERAGE(G363:G365)</f>
        <v>0.9726830359201607</v>
      </c>
      <c r="H367" s="123"/>
      <c r="I367" s="123"/>
      <c r="J367" s="123"/>
      <c r="K367" s="123"/>
      <c r="L367" s="98"/>
    </row>
    <row r="368" spans="1:13">
      <c r="A368" s="130"/>
      <c r="B368" s="123"/>
      <c r="C368" s="123"/>
      <c r="D368" s="123"/>
      <c r="E368" s="123"/>
      <c r="F368" s="123"/>
      <c r="G368" s="123"/>
      <c r="H368" s="123"/>
      <c r="I368" s="123"/>
      <c r="J368" s="123" t="s">
        <v>419</v>
      </c>
      <c r="K368" s="123">
        <v>0.02</v>
      </c>
      <c r="L368" s="98"/>
    </row>
    <row r="369" spans="1:12" ht="15.75" thickBot="1">
      <c r="A369" s="140" t="s">
        <v>254</v>
      </c>
      <c r="B369" s="123"/>
      <c r="C369" s="123"/>
      <c r="D369" s="123"/>
      <c r="E369" s="123"/>
      <c r="F369" s="123"/>
      <c r="G369" s="123"/>
      <c r="H369" s="123"/>
      <c r="I369" s="123"/>
      <c r="J369" s="124" t="s">
        <v>218</v>
      </c>
      <c r="K369" s="123"/>
      <c r="L369" s="98"/>
    </row>
    <row r="370" spans="1:12" ht="15.75" thickTop="1">
      <c r="A370" s="1"/>
      <c r="B370" s="2" t="s">
        <v>8</v>
      </c>
      <c r="C370" s="2" t="s">
        <v>9</v>
      </c>
      <c r="D370" s="2" t="s">
        <v>10</v>
      </c>
      <c r="E370" s="3" t="s">
        <v>11</v>
      </c>
      <c r="F370" s="103" t="s">
        <v>16</v>
      </c>
      <c r="G370" s="103" t="s">
        <v>172</v>
      </c>
      <c r="H370" s="124" t="s">
        <v>171</v>
      </c>
      <c r="I370" s="123"/>
      <c r="J370" s="123">
        <f>0.13*0.02</f>
        <v>2.6000000000000003E-3</v>
      </c>
      <c r="K370" s="103" t="s">
        <v>212</v>
      </c>
      <c r="L370" s="98"/>
    </row>
    <row r="371" spans="1:12">
      <c r="A371" s="4" t="s">
        <v>3</v>
      </c>
      <c r="B371" s="100">
        <v>22726.1</v>
      </c>
      <c r="C371" s="5">
        <v>38689</v>
      </c>
      <c r="D371" s="5">
        <v>8410</v>
      </c>
      <c r="E371" s="110">
        <f>SUM(B371:D371)</f>
        <v>69825.100000000006</v>
      </c>
      <c r="F371" s="123">
        <f>D371/(B371+C371)</f>
        <v>0.1369370073483557</v>
      </c>
      <c r="G371" s="123">
        <f>B371/C371</f>
        <v>0.58740468867119855</v>
      </c>
      <c r="H371" s="125">
        <f>ABS((E374-E366)/E366)</f>
        <v>6.8443163922412287E-3</v>
      </c>
      <c r="I371" s="123"/>
      <c r="J371" s="123">
        <f>0.307*0.02</f>
        <v>6.1399999999999996E-3</v>
      </c>
      <c r="K371" s="123" t="s">
        <v>213</v>
      </c>
      <c r="L371" s="98"/>
    </row>
    <row r="372" spans="1:12">
      <c r="A372" s="4" t="s">
        <v>4</v>
      </c>
      <c r="B372" s="5">
        <v>38063.1</v>
      </c>
      <c r="C372" s="5">
        <v>31361</v>
      </c>
      <c r="D372" s="5">
        <v>9506.73</v>
      </c>
      <c r="E372" s="112">
        <f t="shared" ref="E372:E373" si="49">SUM(B372:D372)</f>
        <v>78930.83</v>
      </c>
      <c r="F372" s="123">
        <f t="shared" ref="F372:F374" si="50">D372/(B372+C372)</f>
        <v>0.13693702907203692</v>
      </c>
      <c r="G372" s="123">
        <f t="shared" ref="G372:G374" si="51">B372/C372</f>
        <v>1.213708108797551</v>
      </c>
      <c r="H372" s="123"/>
      <c r="I372" s="123"/>
      <c r="J372" s="123">
        <f>0.23*0.02</f>
        <v>4.5999999999999999E-3</v>
      </c>
      <c r="K372" s="123" t="s">
        <v>214</v>
      </c>
      <c r="L372" s="98"/>
    </row>
    <row r="373" spans="1:12">
      <c r="A373" s="4" t="s">
        <v>5</v>
      </c>
      <c r="B373" s="5">
        <v>9035.8700000000008</v>
      </c>
      <c r="C373" s="5">
        <v>8880.86</v>
      </c>
      <c r="D373" s="5">
        <v>2453.4699999999998</v>
      </c>
      <c r="E373" s="108">
        <f t="shared" si="49"/>
        <v>20370.200000000004</v>
      </c>
      <c r="F373" s="123">
        <f t="shared" si="50"/>
        <v>0.1369373764074136</v>
      </c>
      <c r="G373" s="123">
        <f t="shared" si="51"/>
        <v>1.0174543906783802</v>
      </c>
      <c r="H373" s="123"/>
      <c r="I373" s="123" t="s">
        <v>397</v>
      </c>
      <c r="J373" s="123"/>
      <c r="K373" s="103" t="s">
        <v>215</v>
      </c>
      <c r="L373" s="98"/>
    </row>
    <row r="374" spans="1:12" ht="15.75" thickBot="1">
      <c r="A374" s="7"/>
      <c r="B374" s="111">
        <f>SUM(B371:B373)</f>
        <v>69825.069999999992</v>
      </c>
      <c r="C374" s="113">
        <f t="shared" ref="C374:D374" si="52">SUM(C371:C373)</f>
        <v>78930.86</v>
      </c>
      <c r="D374" s="109">
        <f t="shared" si="52"/>
        <v>20370.2</v>
      </c>
      <c r="E374" s="102">
        <f>SUM(E371:E373)</f>
        <v>169126.13</v>
      </c>
      <c r="F374" s="123">
        <f t="shared" si="50"/>
        <v>0.13693706193763167</v>
      </c>
      <c r="G374" s="123">
        <f t="shared" si="51"/>
        <v>0.88463586992464027</v>
      </c>
      <c r="H374" s="123"/>
      <c r="I374" s="123" t="s">
        <v>398</v>
      </c>
      <c r="J374" s="123"/>
      <c r="K374" s="103" t="s">
        <v>216</v>
      </c>
      <c r="L374" s="98"/>
    </row>
    <row r="375" spans="1:12" ht="15.75" thickTop="1">
      <c r="A375" s="130"/>
      <c r="B375" s="123"/>
      <c r="C375" s="123"/>
      <c r="D375" s="123"/>
      <c r="E375" s="123"/>
      <c r="F375" s="124" t="s">
        <v>420</v>
      </c>
      <c r="G375" s="103">
        <f>AVERAGE(G371:G373)</f>
        <v>0.9395223960490432</v>
      </c>
      <c r="H375" s="123"/>
      <c r="I375" s="123" t="s">
        <v>399</v>
      </c>
      <c r="J375" s="123"/>
      <c r="K375" s="103" t="s">
        <v>217</v>
      </c>
      <c r="L375" s="98"/>
    </row>
    <row r="376" spans="1:12">
      <c r="A376" s="130" t="s">
        <v>12</v>
      </c>
      <c r="B376" s="123">
        <f>B371/B363</f>
        <v>0.97416915644678004</v>
      </c>
      <c r="C376" s="123" t="s">
        <v>163</v>
      </c>
      <c r="D376" s="123">
        <f>C371/C363</f>
        <v>1.0086765633717627</v>
      </c>
      <c r="E376" s="124" t="s">
        <v>255</v>
      </c>
      <c r="F376" s="123"/>
      <c r="G376" s="123"/>
      <c r="H376" s="123"/>
      <c r="I376" s="123"/>
      <c r="J376" s="124" t="s">
        <v>423</v>
      </c>
      <c r="K376" s="123"/>
      <c r="L376" s="98"/>
    </row>
    <row r="377" spans="1:12">
      <c r="A377" s="130" t="s">
        <v>13</v>
      </c>
      <c r="B377" s="123">
        <f t="shared" ref="B377:B378" si="53">B372/B364</f>
        <v>0.97430062635824011</v>
      </c>
      <c r="C377" s="123" t="s">
        <v>164</v>
      </c>
      <c r="D377" s="123">
        <f t="shared" ref="D377:D378" si="54">C372/C364</f>
        <v>1.008677696582956</v>
      </c>
      <c r="E377" s="123">
        <f>VAR(G363:G365)</f>
        <v>0.1099547376611254</v>
      </c>
      <c r="F377" s="124">
        <f>AVEDEV(G363:G365)/G367</f>
        <v>0.24980461364055287</v>
      </c>
      <c r="G377" s="124" t="s">
        <v>437</v>
      </c>
      <c r="H377" s="123"/>
      <c r="I377" s="123"/>
      <c r="J377" s="123" t="s">
        <v>415</v>
      </c>
      <c r="K377" s="123"/>
      <c r="L377" s="98"/>
    </row>
    <row r="378" spans="1:12">
      <c r="A378" s="130" t="s">
        <v>14</v>
      </c>
      <c r="B378" s="123">
        <f t="shared" si="53"/>
        <v>0.97434490105986871</v>
      </c>
      <c r="C378" s="123" t="s">
        <v>165</v>
      </c>
      <c r="D378" s="123">
        <f t="shared" si="54"/>
        <v>1.0086762746650282</v>
      </c>
      <c r="E378" s="123">
        <f>E377/G367</f>
        <v>0.11304272162730579</v>
      </c>
      <c r="F378" s="123"/>
      <c r="G378" s="124" t="s">
        <v>438</v>
      </c>
      <c r="H378" s="123"/>
      <c r="I378" s="123"/>
      <c r="J378" s="123" t="s">
        <v>403</v>
      </c>
      <c r="K378" s="123">
        <v>1</v>
      </c>
      <c r="L378" s="98" t="s">
        <v>416</v>
      </c>
    </row>
    <row r="379" spans="1:12">
      <c r="A379" s="130" t="s">
        <v>15</v>
      </c>
      <c r="B379" s="123">
        <f>E371/E363</f>
        <v>0.97426343627000744</v>
      </c>
      <c r="C379" s="123" t="s">
        <v>67</v>
      </c>
      <c r="D379" s="123">
        <f>E372/E364</f>
        <v>1.0086771133659111</v>
      </c>
      <c r="E379" s="124" t="s">
        <v>256</v>
      </c>
      <c r="F379" s="123"/>
      <c r="G379" s="123"/>
      <c r="H379" s="123"/>
      <c r="I379" s="123"/>
      <c r="J379" s="123" t="s">
        <v>401</v>
      </c>
      <c r="K379" s="123">
        <v>500</v>
      </c>
      <c r="L379" s="98" t="s">
        <v>417</v>
      </c>
    </row>
    <row r="380" spans="1:12">
      <c r="A380" s="130" t="s">
        <v>170</v>
      </c>
      <c r="B380" s="123">
        <f>VAR(B376:B378)</f>
        <v>8.3551259755509646E-9</v>
      </c>
      <c r="C380" s="123" t="s">
        <v>170</v>
      </c>
      <c r="D380" s="123">
        <f>VAR(D376:D378)</f>
        <v>5.6489496346154432E-13</v>
      </c>
      <c r="E380" s="123">
        <f>VAR(G371:G373)</f>
        <v>0.10261904035567193</v>
      </c>
      <c r="F380" s="124">
        <f>AVEDEV(G371:G373)/G375</f>
        <v>0.24985581955157857</v>
      </c>
      <c r="G380" s="124" t="s">
        <v>437</v>
      </c>
      <c r="H380" s="123"/>
      <c r="I380" s="123"/>
      <c r="J380" s="123"/>
      <c r="K380" s="123"/>
      <c r="L380" s="98"/>
    </row>
    <row r="381" spans="1:12">
      <c r="A381" s="130"/>
      <c r="B381" s="123"/>
      <c r="C381" s="123"/>
      <c r="D381" s="123"/>
      <c r="E381" s="123">
        <f>E380/G375</f>
        <v>0.10922468776392553</v>
      </c>
      <c r="F381" s="123"/>
      <c r="G381" s="124" t="s">
        <v>438</v>
      </c>
      <c r="H381" s="123"/>
      <c r="I381" s="123"/>
      <c r="J381" s="123"/>
      <c r="K381" s="123"/>
      <c r="L381" s="98"/>
    </row>
    <row r="382" spans="1:12">
      <c r="A382" s="130"/>
      <c r="B382" s="123"/>
      <c r="C382" s="123"/>
      <c r="D382" s="123" t="s">
        <v>444</v>
      </c>
      <c r="E382" s="123"/>
      <c r="F382" s="123"/>
      <c r="G382" s="123"/>
      <c r="H382" s="123"/>
      <c r="I382" s="123"/>
      <c r="J382" s="123"/>
      <c r="K382" s="123"/>
      <c r="L382" s="98"/>
    </row>
    <row r="383" spans="1:12">
      <c r="A383" s="130"/>
      <c r="B383" s="123">
        <f>B376</f>
        <v>0.97416915644678004</v>
      </c>
      <c r="C383" s="123"/>
      <c r="D383" s="123">
        <f>ABS(C371-B372)/C371</f>
        <v>1.6177724934736008E-2</v>
      </c>
      <c r="E383" s="123" t="s">
        <v>446</v>
      </c>
      <c r="F383" s="123"/>
      <c r="G383" s="123"/>
      <c r="H383" s="123"/>
      <c r="I383" s="123"/>
      <c r="J383" s="123"/>
      <c r="K383" s="123"/>
      <c r="L383" s="98"/>
    </row>
    <row r="384" spans="1:12">
      <c r="A384" s="130"/>
      <c r="B384" s="123">
        <f t="shared" ref="B384:B385" si="55">B377</f>
        <v>0.97430062635824011</v>
      </c>
      <c r="C384" s="123"/>
      <c r="D384" s="123">
        <f>ABS((C363-B364)/C363)</f>
        <v>1.8534161361135917E-2</v>
      </c>
      <c r="E384" s="123" t="s">
        <v>445</v>
      </c>
      <c r="F384" s="123"/>
      <c r="G384" s="123"/>
      <c r="H384" s="123"/>
      <c r="I384" s="123"/>
      <c r="J384" s="123"/>
      <c r="K384" s="123"/>
      <c r="L384" s="98"/>
    </row>
    <row r="385" spans="1:49">
      <c r="A385" s="130"/>
      <c r="B385" s="123">
        <f t="shared" si="55"/>
        <v>0.97434490105986871</v>
      </c>
      <c r="C385" s="123"/>
      <c r="D385" s="123"/>
      <c r="E385" s="123"/>
      <c r="F385" s="123"/>
      <c r="G385" s="123"/>
      <c r="H385" s="123"/>
      <c r="I385" s="123"/>
      <c r="J385" s="123"/>
      <c r="K385" s="123"/>
      <c r="L385" s="98"/>
    </row>
    <row r="386" spans="1:49">
      <c r="A386" s="130"/>
      <c r="B386" s="123">
        <f>D376</f>
        <v>1.0086765633717627</v>
      </c>
      <c r="C386" s="123"/>
      <c r="D386" s="123"/>
      <c r="E386" s="123"/>
      <c r="F386" s="123"/>
      <c r="G386" s="123"/>
      <c r="H386" s="123"/>
      <c r="I386" s="123"/>
      <c r="J386" s="123"/>
      <c r="K386" s="123"/>
      <c r="L386" s="98"/>
    </row>
    <row r="387" spans="1:49">
      <c r="A387" s="130"/>
      <c r="B387" s="123">
        <f t="shared" ref="B387:B388" si="56">D377</f>
        <v>1.008677696582956</v>
      </c>
      <c r="C387" s="123"/>
      <c r="D387" s="123"/>
      <c r="E387" s="123"/>
      <c r="F387" s="123"/>
      <c r="G387" s="123"/>
      <c r="H387" s="123"/>
      <c r="I387" s="123"/>
      <c r="J387" s="123"/>
      <c r="K387" s="123"/>
      <c r="L387" s="98"/>
    </row>
    <row r="388" spans="1:49">
      <c r="A388" s="130"/>
      <c r="B388" s="123">
        <f t="shared" si="56"/>
        <v>1.0086762746650282</v>
      </c>
      <c r="C388" s="123"/>
      <c r="D388" s="123"/>
      <c r="E388" s="123"/>
      <c r="F388" s="123"/>
      <c r="G388" s="123"/>
      <c r="H388" s="123"/>
      <c r="I388" s="123"/>
      <c r="J388" s="123"/>
      <c r="K388" s="123"/>
      <c r="L388" s="98"/>
    </row>
    <row r="389" spans="1:49" ht="15.75" thickBot="1">
      <c r="A389" s="131" t="s">
        <v>170</v>
      </c>
      <c r="B389" s="126">
        <f>VAR(B383:B388)</f>
        <v>3.5512040384465271E-4</v>
      </c>
      <c r="C389" s="126"/>
      <c r="D389" s="126"/>
      <c r="E389" s="126"/>
      <c r="F389" s="126"/>
      <c r="G389" s="126"/>
      <c r="H389" s="126"/>
      <c r="I389" s="126"/>
      <c r="J389" s="126"/>
      <c r="K389" s="126"/>
      <c r="L389" s="127"/>
    </row>
    <row r="390" spans="1:49" ht="15.75" thickTop="1"/>
    <row r="392" spans="1:49">
      <c r="AC392" s="120" t="s">
        <v>540</v>
      </c>
    </row>
    <row r="393" spans="1:49">
      <c r="N393" s="30" t="s">
        <v>630</v>
      </c>
      <c r="T393" s="30" t="s">
        <v>631</v>
      </c>
      <c r="AC393" s="120" t="s">
        <v>584</v>
      </c>
      <c r="AH393" t="s">
        <v>545</v>
      </c>
    </row>
    <row r="394" spans="1:49" ht="30">
      <c r="N394" t="s">
        <v>612</v>
      </c>
      <c r="O394" t="s">
        <v>479</v>
      </c>
      <c r="P394" t="s">
        <v>611</v>
      </c>
      <c r="Q394" t="s">
        <v>610</v>
      </c>
      <c r="R394" t="s">
        <v>609</v>
      </c>
      <c r="S394" t="s">
        <v>608</v>
      </c>
      <c r="T394" t="s">
        <v>612</v>
      </c>
      <c r="U394" t="s">
        <v>479</v>
      </c>
      <c r="V394" t="s">
        <v>611</v>
      </c>
      <c r="W394" t="s">
        <v>610</v>
      </c>
      <c r="X394" t="s">
        <v>609</v>
      </c>
      <c r="Y394" t="s">
        <v>608</v>
      </c>
      <c r="Z394" t="s">
        <v>180</v>
      </c>
      <c r="AA394" t="s">
        <v>420</v>
      </c>
      <c r="AC394" s="327" t="s">
        <v>551</v>
      </c>
      <c r="AD394" s="327" t="s">
        <v>541</v>
      </c>
      <c r="AE394" s="327" t="s">
        <v>542</v>
      </c>
      <c r="AF394" s="327" t="s">
        <v>543</v>
      </c>
      <c r="AG394" s="327" t="s">
        <v>180</v>
      </c>
      <c r="AH394" s="327" t="s">
        <v>544</v>
      </c>
      <c r="AI394" s="327" t="s">
        <v>546</v>
      </c>
      <c r="AJ394" s="327" t="s">
        <v>547</v>
      </c>
      <c r="AK394" s="327" t="s">
        <v>548</v>
      </c>
      <c r="AL394" s="327" t="s">
        <v>549</v>
      </c>
      <c r="AM394" s="327" t="s">
        <v>550</v>
      </c>
      <c r="AN394" s="327" t="s">
        <v>420</v>
      </c>
      <c r="AO394" s="327"/>
      <c r="AP394" s="327"/>
      <c r="AQ394" s="327"/>
      <c r="AR394" s="327"/>
      <c r="AS394" s="327"/>
      <c r="AT394" s="327"/>
      <c r="AU394" s="327"/>
      <c r="AV394" s="327"/>
      <c r="AW394" s="327"/>
    </row>
    <row r="395" spans="1:49">
      <c r="N395">
        <f>AD395*AD395</f>
        <v>36</v>
      </c>
      <c r="O395">
        <f>AD395*AE395</f>
        <v>72</v>
      </c>
      <c r="P395">
        <f>AD395*AF395</f>
        <v>24</v>
      </c>
      <c r="Q395">
        <f>AE395*AD395</f>
        <v>72</v>
      </c>
      <c r="R395">
        <f>AE395*AE395</f>
        <v>144</v>
      </c>
      <c r="S395">
        <f>AE395*AF395</f>
        <v>48</v>
      </c>
      <c r="T395">
        <f>AVERAGE(AH395:AH412)</f>
        <v>1.7920257211111112</v>
      </c>
      <c r="U395">
        <f t="shared" ref="U395:Y395" si="57">AVERAGE(AI395:AI412)</f>
        <v>0.77235094444444463</v>
      </c>
      <c r="V395">
        <f t="shared" si="57"/>
        <v>5.0622261211111113</v>
      </c>
      <c r="W395">
        <f t="shared" si="57"/>
        <v>0.94842873444444442</v>
      </c>
      <c r="X395">
        <f t="shared" si="57"/>
        <v>1.1973380166666665</v>
      </c>
      <c r="Y395">
        <f t="shared" si="57"/>
        <v>3.4194359277777782</v>
      </c>
      <c r="Z395">
        <f>AG395</f>
        <v>22</v>
      </c>
      <c r="AA395">
        <f>AVERAGE(AN395:AN412)</f>
        <v>2.1986342442592588</v>
      </c>
      <c r="AC395" s="30" t="s">
        <v>552</v>
      </c>
      <c r="AD395">
        <v>6</v>
      </c>
      <c r="AE395">
        <v>12</v>
      </c>
      <c r="AF395">
        <v>4</v>
      </c>
      <c r="AG395">
        <f t="shared" ref="AG395:AG404" si="58">SUM(AD395:AF395)</f>
        <v>22</v>
      </c>
      <c r="AH395">
        <v>0.985232</v>
      </c>
      <c r="AI395">
        <v>1.05819</v>
      </c>
      <c r="AJ395">
        <v>0.67658799999999997</v>
      </c>
      <c r="AK395">
        <v>1.18344</v>
      </c>
      <c r="AL395">
        <v>1.7311700000000001</v>
      </c>
      <c r="AM395">
        <v>11.796799999999999</v>
      </c>
      <c r="AN395">
        <f t="shared" ref="AN395:AN411" si="59">AVERAGE(AH395:AM395)</f>
        <v>2.9052366666666667</v>
      </c>
    </row>
    <row r="396" spans="1:49">
      <c r="N396">
        <f>AD413^2</f>
        <v>144</v>
      </c>
      <c r="O396">
        <f>AD413*AE413</f>
        <v>240</v>
      </c>
      <c r="P396">
        <f>AD413*AF413</f>
        <v>96</v>
      </c>
      <c r="Q396">
        <f>O396</f>
        <v>240</v>
      </c>
      <c r="R396">
        <f>AE413^2</f>
        <v>400</v>
      </c>
      <c r="S396">
        <f>AE413*AF413</f>
        <v>160</v>
      </c>
      <c r="T396">
        <f>AVERAGE(AH413:AH422)</f>
        <v>0.53329418000000006</v>
      </c>
      <c r="U396">
        <f t="shared" ref="U396:Y396" si="60">AVERAGE(AI413:AI422)</f>
        <v>0.35243008999999997</v>
      </c>
      <c r="V396">
        <f t="shared" si="60"/>
        <v>2.0478833000000001</v>
      </c>
      <c r="W396">
        <f t="shared" si="60"/>
        <v>0.29286466000000005</v>
      </c>
      <c r="X396">
        <f t="shared" si="60"/>
        <v>0.74173134000000007</v>
      </c>
      <c r="Y396">
        <f t="shared" si="60"/>
        <v>2.1750178999999998</v>
      </c>
      <c r="Z396">
        <f>AG413</f>
        <v>40</v>
      </c>
      <c r="AA396">
        <f>AVERAGE(AN413:AN422)</f>
        <v>1.0238702449999999</v>
      </c>
      <c r="AC396" t="s">
        <v>558</v>
      </c>
      <c r="AD396">
        <v>6</v>
      </c>
      <c r="AE396">
        <v>12</v>
      </c>
      <c r="AF396">
        <v>4</v>
      </c>
      <c r="AG396">
        <f t="shared" si="58"/>
        <v>22</v>
      </c>
      <c r="AH396">
        <v>1.55613</v>
      </c>
      <c r="AI396">
        <v>0.90928200000000003</v>
      </c>
      <c r="AJ396">
        <v>3.0995100000000001E-2</v>
      </c>
      <c r="AK396">
        <v>1.3793800000000001</v>
      </c>
      <c r="AL396">
        <v>0.926732</v>
      </c>
      <c r="AM396">
        <v>7.2594700000000003</v>
      </c>
      <c r="AN396">
        <f t="shared" si="59"/>
        <v>2.0103315166666671</v>
      </c>
    </row>
    <row r="397" spans="1:49">
      <c r="N397">
        <f>AD423^2</f>
        <v>400</v>
      </c>
      <c r="O397">
        <f>AD423*AE423</f>
        <v>800</v>
      </c>
      <c r="P397">
        <f>AD423*AF423</f>
        <v>300</v>
      </c>
      <c r="Q397">
        <f t="shared" ref="Q397:Q399" si="61">O397</f>
        <v>800</v>
      </c>
      <c r="R397">
        <f>AE423^2</f>
        <v>1600</v>
      </c>
      <c r="S397">
        <f>AE423*AF423</f>
        <v>600</v>
      </c>
      <c r="T397">
        <f>AVERAGE(AH423:AH430)</f>
        <v>0.31372034999999998</v>
      </c>
      <c r="U397">
        <f t="shared" ref="U397:Y397" si="62">AVERAGE(AI423:AI430)</f>
        <v>0.17553168749999998</v>
      </c>
      <c r="V397">
        <f t="shared" si="62"/>
        <v>1.2123549125000002</v>
      </c>
      <c r="W397">
        <f t="shared" si="62"/>
        <v>0.12206813749999999</v>
      </c>
      <c r="X397">
        <f t="shared" si="62"/>
        <v>0.14854182375</v>
      </c>
      <c r="Y397">
        <f t="shared" si="62"/>
        <v>1.214445875</v>
      </c>
      <c r="Z397">
        <f>AG423</f>
        <v>75</v>
      </c>
      <c r="AA397">
        <f>AVERAGE(AN423:AN430)</f>
        <v>0.53111046437499998</v>
      </c>
      <c r="AC397" t="s">
        <v>559</v>
      </c>
      <c r="AD397">
        <v>6</v>
      </c>
      <c r="AE397">
        <v>12</v>
      </c>
      <c r="AF397">
        <v>4</v>
      </c>
      <c r="AG397">
        <f t="shared" si="58"/>
        <v>22</v>
      </c>
      <c r="AH397">
        <v>0.59200399999999997</v>
      </c>
      <c r="AI397">
        <v>1.8182700000000001</v>
      </c>
      <c r="AJ397">
        <v>3.5837400000000001</v>
      </c>
      <c r="AK397">
        <v>0.86220200000000002</v>
      </c>
      <c r="AL397">
        <v>1.4484399999999999</v>
      </c>
      <c r="AM397">
        <v>0.11598600000000001</v>
      </c>
      <c r="AN397">
        <f t="shared" si="59"/>
        <v>1.4034403333333332</v>
      </c>
    </row>
    <row r="398" spans="1:49">
      <c r="N398">
        <f>AD431^2</f>
        <v>900</v>
      </c>
      <c r="O398">
        <f>AD431*AE431</f>
        <v>1800</v>
      </c>
      <c r="P398">
        <f>AD431*AF431</f>
        <v>750</v>
      </c>
      <c r="Q398">
        <f t="shared" si="61"/>
        <v>1800</v>
      </c>
      <c r="R398">
        <f>AE431^2</f>
        <v>3600</v>
      </c>
      <c r="S398">
        <f>AE431*AF431</f>
        <v>1500</v>
      </c>
      <c r="T398">
        <f>AVERAGE(AH431:AH444)</f>
        <v>0.16564114285714285</v>
      </c>
      <c r="U398">
        <f t="shared" ref="U398:Y398" si="63">AVERAGE(AI431:AI444)</f>
        <v>8.8488542142857146E-2</v>
      </c>
      <c r="V398">
        <f t="shared" si="63"/>
        <v>0.9015006571428571</v>
      </c>
      <c r="W398">
        <f t="shared" si="63"/>
        <v>9.8771278571428575E-2</v>
      </c>
      <c r="X398">
        <f t="shared" si="63"/>
        <v>8.3783230714285728E-2</v>
      </c>
      <c r="Y398">
        <f t="shared" si="63"/>
        <v>0.89710622142857133</v>
      </c>
      <c r="Z398">
        <f>AG431</f>
        <v>115</v>
      </c>
      <c r="AA398">
        <f>AVERAGE(AN431:AN444)</f>
        <v>0.37254851214285711</v>
      </c>
      <c r="AC398" t="s">
        <v>560</v>
      </c>
      <c r="AD398">
        <v>6</v>
      </c>
      <c r="AE398">
        <v>12</v>
      </c>
      <c r="AF398">
        <v>4</v>
      </c>
      <c r="AG398">
        <f t="shared" si="58"/>
        <v>22</v>
      </c>
      <c r="AH398">
        <v>0.66329800000000005</v>
      </c>
      <c r="AI398">
        <v>0.50531499999999996</v>
      </c>
      <c r="AJ398">
        <v>10.014799999999999</v>
      </c>
      <c r="AK398">
        <v>0.61410399999999998</v>
      </c>
      <c r="AL398">
        <v>1.0904799999999999</v>
      </c>
      <c r="AM398">
        <v>2.7993399999999999</v>
      </c>
      <c r="AN398">
        <f t="shared" si="59"/>
        <v>2.6145561666666666</v>
      </c>
    </row>
    <row r="399" spans="1:49">
      <c r="N399">
        <f>AD445^2</f>
        <v>2500</v>
      </c>
      <c r="O399">
        <f>AD445*AE445</f>
        <v>5000</v>
      </c>
      <c r="P399">
        <f>AD445*AF445</f>
        <v>2000</v>
      </c>
      <c r="Q399">
        <f t="shared" si="61"/>
        <v>5000</v>
      </c>
      <c r="R399">
        <f>AE445^2</f>
        <v>10000</v>
      </c>
      <c r="S399">
        <f>AE445*AF445</f>
        <v>4000</v>
      </c>
      <c r="T399">
        <f>AVERAGE(AH445:AH446)</f>
        <v>5.0505555000000001E-2</v>
      </c>
      <c r="U399">
        <f t="shared" ref="U399:Y399" si="64">AVERAGE(AI445:AI446)</f>
        <v>2.8630099999999999E-2</v>
      </c>
      <c r="V399">
        <f t="shared" si="64"/>
        <v>0.55682600000000004</v>
      </c>
      <c r="W399">
        <f t="shared" si="64"/>
        <v>4.4759350000000003E-2</v>
      </c>
      <c r="X399">
        <f t="shared" si="64"/>
        <v>2.589E-2</v>
      </c>
      <c r="Y399">
        <f t="shared" si="64"/>
        <v>0.32413645000000002</v>
      </c>
      <c r="Z399">
        <f>AG445</f>
        <v>190</v>
      </c>
      <c r="AA399">
        <f>AVERAGE(AN445:AN446)</f>
        <v>0.1717912425</v>
      </c>
      <c r="AC399" t="s">
        <v>561</v>
      </c>
      <c r="AD399">
        <v>6</v>
      </c>
      <c r="AE399">
        <v>12</v>
      </c>
      <c r="AF399">
        <v>4</v>
      </c>
      <c r="AG399">
        <f t="shared" si="58"/>
        <v>22</v>
      </c>
      <c r="AH399">
        <v>0.93677999999999995</v>
      </c>
      <c r="AI399">
        <v>0.59412699999999996</v>
      </c>
      <c r="AJ399">
        <v>2.84008E-3</v>
      </c>
      <c r="AK399">
        <v>2.7138</v>
      </c>
      <c r="AL399">
        <v>2.9540299999999999</v>
      </c>
      <c r="AM399">
        <v>0.230743</v>
      </c>
      <c r="AN399">
        <f t="shared" si="59"/>
        <v>1.2387200133333334</v>
      </c>
    </row>
    <row r="400" spans="1:49">
      <c r="AC400" t="s">
        <v>562</v>
      </c>
      <c r="AD400">
        <v>6</v>
      </c>
      <c r="AE400">
        <v>12</v>
      </c>
      <c r="AF400">
        <v>4</v>
      </c>
      <c r="AG400">
        <f t="shared" si="58"/>
        <v>22</v>
      </c>
      <c r="AH400">
        <v>5.4065899999999996</v>
      </c>
      <c r="AI400">
        <v>0.72541500000000003</v>
      </c>
      <c r="AJ400">
        <v>5.9910399999999999</v>
      </c>
      <c r="AK400">
        <v>2.5032899999999998</v>
      </c>
      <c r="AL400">
        <v>0.122195</v>
      </c>
      <c r="AM400">
        <v>5.0394199999999998</v>
      </c>
      <c r="AN400">
        <f t="shared" si="59"/>
        <v>3.2979916666666664</v>
      </c>
    </row>
    <row r="401" spans="14:40">
      <c r="N401">
        <f>LOG10(N395)</f>
        <v>1.5563025007672873</v>
      </c>
      <c r="O401">
        <f t="shared" ref="O401:S401" si="65">LOG10(O395)</f>
        <v>1.8573324964312685</v>
      </c>
      <c r="P401">
        <f t="shared" si="65"/>
        <v>1.3802112417116059</v>
      </c>
      <c r="Q401">
        <f t="shared" si="65"/>
        <v>1.8573324964312685</v>
      </c>
      <c r="R401">
        <f t="shared" si="65"/>
        <v>2.1583624920952498</v>
      </c>
      <c r="S401">
        <f t="shared" si="65"/>
        <v>1.6812412373755872</v>
      </c>
      <c r="T401">
        <f>LOG10(T395)</f>
        <v>0.25334423883975471</v>
      </c>
      <c r="U401">
        <f t="shared" ref="U401:Y401" si="66">LOG10(U395)</f>
        <v>-0.11218531805375787</v>
      </c>
      <c r="V401">
        <f t="shared" si="66"/>
        <v>0.70434154045824493</v>
      </c>
      <c r="W401">
        <f t="shared" si="66"/>
        <v>-2.2995296720820988E-2</v>
      </c>
      <c r="X401">
        <f t="shared" si="66"/>
        <v>7.8216772002090124E-2</v>
      </c>
      <c r="Y401">
        <f t="shared" si="66"/>
        <v>0.53395447048365563</v>
      </c>
      <c r="AC401" t="s">
        <v>563</v>
      </c>
      <c r="AD401">
        <v>6</v>
      </c>
      <c r="AE401">
        <v>12</v>
      </c>
      <c r="AF401">
        <v>4</v>
      </c>
      <c r="AG401">
        <f t="shared" si="58"/>
        <v>22</v>
      </c>
      <c r="AH401">
        <v>1.58168</v>
      </c>
      <c r="AI401">
        <v>0.60695100000000002</v>
      </c>
      <c r="AJ401">
        <v>2.8543099999999999</v>
      </c>
      <c r="AK401">
        <v>1.7348600000000001</v>
      </c>
      <c r="AL401">
        <v>1.647</v>
      </c>
      <c r="AM401">
        <v>6.11266</v>
      </c>
      <c r="AN401">
        <f t="shared" si="59"/>
        <v>2.4229101666666666</v>
      </c>
    </row>
    <row r="402" spans="14:40">
      <c r="N402">
        <f t="shared" ref="N402:S402" si="67">LOG10(N396)</f>
        <v>2.1583624920952498</v>
      </c>
      <c r="O402">
        <f t="shared" si="67"/>
        <v>2.3802112417116059</v>
      </c>
      <c r="P402">
        <f t="shared" si="67"/>
        <v>1.9822712330395684</v>
      </c>
      <c r="Q402">
        <f t="shared" si="67"/>
        <v>2.3802112417116059</v>
      </c>
      <c r="R402">
        <f t="shared" si="67"/>
        <v>2.6020599913279625</v>
      </c>
      <c r="S402">
        <f t="shared" si="67"/>
        <v>2.2041199826559246</v>
      </c>
      <c r="T402">
        <f t="shared" ref="T402:Y402" si="68">LOG10(T396)</f>
        <v>-0.27303315587773991</v>
      </c>
      <c r="U402">
        <f t="shared" si="68"/>
        <v>-0.45292701920697054</v>
      </c>
      <c r="V402">
        <f t="shared" si="68"/>
        <v>0.31130520444730425</v>
      </c>
      <c r="W402">
        <f t="shared" si="68"/>
        <v>-0.53333303150369782</v>
      </c>
      <c r="X402">
        <f t="shared" si="68"/>
        <v>-0.12975337057494693</v>
      </c>
      <c r="Y402">
        <f t="shared" si="68"/>
        <v>0.33746283546961575</v>
      </c>
      <c r="AC402" t="s">
        <v>564</v>
      </c>
      <c r="AD402">
        <f>AD401</f>
        <v>6</v>
      </c>
      <c r="AE402">
        <f t="shared" ref="AE402:AF402" si="69">AE401</f>
        <v>12</v>
      </c>
      <c r="AF402">
        <f t="shared" si="69"/>
        <v>4</v>
      </c>
      <c r="AG402">
        <f t="shared" si="58"/>
        <v>22</v>
      </c>
      <c r="AH402">
        <v>0.378527</v>
      </c>
      <c r="AI402">
        <v>1.48444</v>
      </c>
      <c r="AJ402">
        <v>10.086399999999999</v>
      </c>
      <c r="AK402">
        <v>0.21572</v>
      </c>
      <c r="AL402">
        <v>0.71851900000000002</v>
      </c>
      <c r="AM402">
        <v>2.55132</v>
      </c>
      <c r="AN402">
        <f t="shared" si="59"/>
        <v>2.5724876666666665</v>
      </c>
    </row>
    <row r="403" spans="14:40">
      <c r="N403">
        <f t="shared" ref="N403:S403" si="70">LOG10(N397)</f>
        <v>2.6020599913279625</v>
      </c>
      <c r="O403">
        <f t="shared" si="70"/>
        <v>2.9030899869919438</v>
      </c>
      <c r="P403">
        <f t="shared" si="70"/>
        <v>2.4771212547196626</v>
      </c>
      <c r="Q403">
        <f t="shared" si="70"/>
        <v>2.9030899869919438</v>
      </c>
      <c r="R403">
        <f t="shared" si="70"/>
        <v>3.2041199826559246</v>
      </c>
      <c r="S403">
        <f t="shared" si="70"/>
        <v>2.7781512503836434</v>
      </c>
      <c r="T403">
        <f t="shared" ref="T403:Y403" si="71">LOG10(T397)</f>
        <v>-0.50345730914395692</v>
      </c>
      <c r="U403">
        <f t="shared" si="71"/>
        <v>-0.75564447199491747</v>
      </c>
      <c r="V403">
        <f t="shared" si="71"/>
        <v>8.3629776576678541E-2</v>
      </c>
      <c r="W403">
        <f t="shared" si="71"/>
        <v>-0.91339768178605418</v>
      </c>
      <c r="X403">
        <f t="shared" si="71"/>
        <v>-0.82815124825602715</v>
      </c>
      <c r="Y403">
        <f t="shared" si="71"/>
        <v>8.4378164087519844E-2</v>
      </c>
      <c r="AC403" t="s">
        <v>565</v>
      </c>
      <c r="AD403">
        <f t="shared" ref="AD403:AD411" si="72">AD402</f>
        <v>6</v>
      </c>
      <c r="AE403">
        <f t="shared" ref="AE403:AE411" si="73">AE402</f>
        <v>12</v>
      </c>
      <c r="AF403">
        <f t="shared" ref="AF403:AF411" si="74">AF402</f>
        <v>4</v>
      </c>
      <c r="AG403">
        <f t="shared" si="58"/>
        <v>22</v>
      </c>
      <c r="AH403">
        <v>3.04298</v>
      </c>
      <c r="AI403">
        <v>1.00326</v>
      </c>
      <c r="AJ403">
        <v>3.0781499999999999</v>
      </c>
      <c r="AK403">
        <v>0.69523500000000005</v>
      </c>
      <c r="AL403">
        <v>1.0476700000000001</v>
      </c>
      <c r="AM403">
        <v>0.63825699999999996</v>
      </c>
      <c r="AN403">
        <f t="shared" si="59"/>
        <v>1.5842586666666667</v>
      </c>
    </row>
    <row r="404" spans="14:40">
      <c r="N404">
        <f t="shared" ref="N404:S404" si="75">LOG10(N398)</f>
        <v>2.9542425094393248</v>
      </c>
      <c r="O404">
        <f t="shared" si="75"/>
        <v>3.255272505103306</v>
      </c>
      <c r="P404">
        <f t="shared" si="75"/>
        <v>2.8750612633917001</v>
      </c>
      <c r="Q404">
        <f t="shared" si="75"/>
        <v>3.255272505103306</v>
      </c>
      <c r="R404">
        <f t="shared" si="75"/>
        <v>3.5563025007672873</v>
      </c>
      <c r="S404">
        <f t="shared" si="75"/>
        <v>3.1760912590556813</v>
      </c>
      <c r="T404">
        <f t="shared" ref="T404:Y404" si="76">LOG10(T398)</f>
        <v>-0.78083178170239032</v>
      </c>
      <c r="U404">
        <f t="shared" si="76"/>
        <v>-1.053112959881604</v>
      </c>
      <c r="V404">
        <f t="shared" si="76"/>
        <v>-4.5033952365414354E-2</v>
      </c>
      <c r="W404">
        <f t="shared" si="76"/>
        <v>-1.0053693243530701</v>
      </c>
      <c r="X404">
        <f t="shared" si="76"/>
        <v>-1.0768428970861044</v>
      </c>
      <c r="Y404">
        <f t="shared" si="76"/>
        <v>-4.7156131483111131E-2</v>
      </c>
      <c r="AC404" t="s">
        <v>566</v>
      </c>
      <c r="AD404">
        <f t="shared" si="72"/>
        <v>6</v>
      </c>
      <c r="AE404">
        <f t="shared" si="73"/>
        <v>12</v>
      </c>
      <c r="AF404">
        <f t="shared" si="74"/>
        <v>4</v>
      </c>
      <c r="AG404">
        <f t="shared" si="58"/>
        <v>22</v>
      </c>
      <c r="AH404">
        <v>3.2058800000000001</v>
      </c>
      <c r="AI404">
        <v>0.51491200000000004</v>
      </c>
      <c r="AJ404">
        <v>1.0276700000000001</v>
      </c>
      <c r="AK404">
        <v>9.6459199999999995E-2</v>
      </c>
      <c r="AL404">
        <v>1.4188799999999999</v>
      </c>
      <c r="AM404">
        <v>4.3008600000000001</v>
      </c>
      <c r="AN404">
        <f t="shared" si="59"/>
        <v>1.7607768666666666</v>
      </c>
    </row>
    <row r="405" spans="14:40">
      <c r="N405">
        <f>LOG10(N399)</f>
        <v>3.3979400086720375</v>
      </c>
      <c r="O405">
        <f t="shared" ref="O405:S405" si="77">LOG10(O399)</f>
        <v>3.6989700043360187</v>
      </c>
      <c r="P405">
        <f t="shared" si="77"/>
        <v>3.3010299956639813</v>
      </c>
      <c r="Q405">
        <f t="shared" si="77"/>
        <v>3.6989700043360187</v>
      </c>
      <c r="R405">
        <f t="shared" si="77"/>
        <v>4</v>
      </c>
      <c r="S405">
        <f t="shared" si="77"/>
        <v>3.6020599913279625</v>
      </c>
      <c r="T405">
        <f>LOG10(T399)</f>
        <v>-1.2966608521156182</v>
      </c>
      <c r="U405">
        <f t="shared" ref="U405:Y405" si="78">LOG10(U399)</f>
        <v>-1.5431771350600521</v>
      </c>
      <c r="V405">
        <f t="shared" si="78"/>
        <v>-0.25428049431541189</v>
      </c>
      <c r="W405">
        <f t="shared" si="78"/>
        <v>-1.3491162289681504</v>
      </c>
      <c r="X405">
        <f t="shared" si="78"/>
        <v>-1.5868679495651279</v>
      </c>
      <c r="Y405">
        <f t="shared" si="78"/>
        <v>-0.48927212865996078</v>
      </c>
      <c r="AC405" t="s">
        <v>597</v>
      </c>
      <c r="AD405">
        <f t="shared" si="72"/>
        <v>6</v>
      </c>
      <c r="AE405">
        <f t="shared" si="73"/>
        <v>12</v>
      </c>
      <c r="AF405">
        <f t="shared" si="74"/>
        <v>4</v>
      </c>
      <c r="AG405">
        <f t="shared" ref="AG405:AG408" si="79">SUM(AD405:AF405)</f>
        <v>22</v>
      </c>
      <c r="AH405">
        <v>5.0072299999999998</v>
      </c>
      <c r="AI405">
        <v>0.49936700000000001</v>
      </c>
      <c r="AJ405">
        <v>7.5803000000000003</v>
      </c>
      <c r="AK405">
        <v>0.66121399999999997</v>
      </c>
      <c r="AL405">
        <v>1.2150099999999999</v>
      </c>
      <c r="AM405">
        <v>3.1857899999999999</v>
      </c>
      <c r="AN405">
        <f t="shared" si="59"/>
        <v>3.0248184999999999</v>
      </c>
    </row>
    <row r="406" spans="14:40">
      <c r="AC406" t="s">
        <v>598</v>
      </c>
      <c r="AD406">
        <f t="shared" si="72"/>
        <v>6</v>
      </c>
      <c r="AE406">
        <f t="shared" si="73"/>
        <v>12</v>
      </c>
      <c r="AF406">
        <f t="shared" si="74"/>
        <v>4</v>
      </c>
      <c r="AG406">
        <f t="shared" si="79"/>
        <v>22</v>
      </c>
      <c r="AH406">
        <v>1.1129800000000001</v>
      </c>
      <c r="AI406">
        <v>0.10115</v>
      </c>
      <c r="AJ406">
        <v>2.4899900000000001</v>
      </c>
      <c r="AK406">
        <v>7.8702599999999998E-2</v>
      </c>
      <c r="AL406">
        <v>0.107248</v>
      </c>
      <c r="AM406">
        <v>0.78652200000000005</v>
      </c>
      <c r="AN406">
        <f t="shared" si="59"/>
        <v>0.77943210000000007</v>
      </c>
    </row>
    <row r="407" spans="14:40">
      <c r="AC407" t="s">
        <v>599</v>
      </c>
      <c r="AD407">
        <f t="shared" si="72"/>
        <v>6</v>
      </c>
      <c r="AE407">
        <f t="shared" si="73"/>
        <v>12</v>
      </c>
      <c r="AF407">
        <f t="shared" si="74"/>
        <v>4</v>
      </c>
      <c r="AG407">
        <f t="shared" si="79"/>
        <v>22</v>
      </c>
      <c r="AH407">
        <v>2.8659800000000002E-3</v>
      </c>
      <c r="AI407">
        <v>0.90271800000000002</v>
      </c>
      <c r="AJ407">
        <v>11.99</v>
      </c>
      <c r="AK407">
        <v>4.21442E-3</v>
      </c>
      <c r="AL407">
        <v>5.38673E-2</v>
      </c>
      <c r="AM407">
        <v>10.657400000000001</v>
      </c>
      <c r="AN407">
        <f t="shared" si="59"/>
        <v>3.935177616666667</v>
      </c>
    </row>
    <row r="408" spans="14:40">
      <c r="AC408" t="s">
        <v>600</v>
      </c>
      <c r="AD408">
        <f t="shared" si="72"/>
        <v>6</v>
      </c>
      <c r="AE408">
        <f t="shared" si="73"/>
        <v>12</v>
      </c>
      <c r="AF408">
        <f t="shared" si="74"/>
        <v>4</v>
      </c>
      <c r="AG408">
        <f t="shared" si="79"/>
        <v>22</v>
      </c>
      <c r="AH408">
        <v>1.0874600000000001</v>
      </c>
      <c r="AI408">
        <v>0.79325999999999997</v>
      </c>
      <c r="AJ408">
        <v>12.1776</v>
      </c>
      <c r="AK408">
        <v>1.79732</v>
      </c>
      <c r="AL408">
        <v>0.83360299999999998</v>
      </c>
      <c r="AM408">
        <v>2.0443899999999999</v>
      </c>
      <c r="AN408">
        <f t="shared" si="59"/>
        <v>3.1222721666666668</v>
      </c>
    </row>
    <row r="409" spans="14:40">
      <c r="AC409" t="s">
        <v>601</v>
      </c>
      <c r="AD409">
        <f t="shared" si="72"/>
        <v>6</v>
      </c>
      <c r="AE409">
        <f t="shared" si="73"/>
        <v>12</v>
      </c>
      <c r="AF409">
        <f t="shared" si="74"/>
        <v>4</v>
      </c>
      <c r="AG409">
        <f t="shared" ref="AG409:AG410" si="80">SUM(AD409:AF409)</f>
        <v>22</v>
      </c>
      <c r="AH409">
        <v>0.29647299999999999</v>
      </c>
      <c r="AI409">
        <v>0.76826700000000003</v>
      </c>
      <c r="AJ409">
        <v>0.93278700000000003</v>
      </c>
      <c r="AK409">
        <v>0.758467</v>
      </c>
      <c r="AL409">
        <v>2.43784</v>
      </c>
      <c r="AM409">
        <v>1.11216</v>
      </c>
      <c r="AN409">
        <f t="shared" si="59"/>
        <v>1.0509990000000002</v>
      </c>
    </row>
    <row r="410" spans="14:40">
      <c r="AC410" t="s">
        <v>602</v>
      </c>
      <c r="AD410">
        <f t="shared" si="72"/>
        <v>6</v>
      </c>
      <c r="AE410">
        <f t="shared" si="73"/>
        <v>12</v>
      </c>
      <c r="AF410">
        <f t="shared" si="74"/>
        <v>4</v>
      </c>
      <c r="AG410">
        <f t="shared" si="80"/>
        <v>22</v>
      </c>
      <c r="AH410">
        <v>3.2685399999999998</v>
      </c>
      <c r="AI410">
        <v>0.155055</v>
      </c>
      <c r="AJ410">
        <v>4.42103</v>
      </c>
      <c r="AK410">
        <v>0.33639400000000003</v>
      </c>
      <c r="AL410">
        <v>1.14151</v>
      </c>
      <c r="AM410">
        <v>1.2314E-2</v>
      </c>
      <c r="AN410">
        <f t="shared" si="59"/>
        <v>1.5558071666666666</v>
      </c>
    </row>
    <row r="411" spans="14:40">
      <c r="AC411" t="s">
        <v>603</v>
      </c>
      <c r="AD411">
        <f t="shared" si="72"/>
        <v>6</v>
      </c>
      <c r="AE411">
        <f t="shared" si="73"/>
        <v>12</v>
      </c>
      <c r="AF411">
        <f t="shared" si="74"/>
        <v>4</v>
      </c>
      <c r="AG411">
        <f t="shared" ref="AG411" si="81">SUM(AD411:AF411)</f>
        <v>22</v>
      </c>
      <c r="AH411">
        <v>0.167683</v>
      </c>
      <c r="AI411">
        <v>0.487925</v>
      </c>
      <c r="AJ411">
        <v>8.2309199999999993</v>
      </c>
      <c r="AK411">
        <v>0.77796200000000004</v>
      </c>
      <c r="AL411">
        <v>1.52355</v>
      </c>
      <c r="AM411">
        <v>1.74647E-2</v>
      </c>
      <c r="AN411">
        <f t="shared" si="59"/>
        <v>1.8675841166666665</v>
      </c>
    </row>
    <row r="412" spans="14:40">
      <c r="AC412" s="330" t="s">
        <v>557</v>
      </c>
      <c r="AD412">
        <v>6</v>
      </c>
      <c r="AE412">
        <v>12</v>
      </c>
      <c r="AF412">
        <v>4</v>
      </c>
      <c r="AG412">
        <f>SUM(AD412:AF412)</f>
        <v>22</v>
      </c>
      <c r="AH412">
        <v>2.9641299999999999</v>
      </c>
      <c r="AI412">
        <v>0.97441299999999997</v>
      </c>
      <c r="AJ412">
        <v>5.9509100000000004</v>
      </c>
      <c r="AK412">
        <v>0.65895300000000001</v>
      </c>
      <c r="AL412">
        <v>1.1343399999999999</v>
      </c>
      <c r="AM412">
        <v>2.8889499999999999</v>
      </c>
      <c r="AN412">
        <f t="shared" ref="AN412:AN417" si="82">AVERAGE(AH412:AM412)</f>
        <v>2.4286159999999999</v>
      </c>
    </row>
    <row r="413" spans="14:40">
      <c r="AC413" s="30" t="s">
        <v>553</v>
      </c>
      <c r="AD413">
        <v>12</v>
      </c>
      <c r="AE413">
        <v>20</v>
      </c>
      <c r="AF413">
        <v>8</v>
      </c>
      <c r="AG413">
        <f t="shared" ref="AG413:AG417" si="83">SUM(AD413:AF413)</f>
        <v>40</v>
      </c>
      <c r="AH413">
        <v>0.78628900000000002</v>
      </c>
      <c r="AI413">
        <v>2.8069199999999999E-2</v>
      </c>
      <c r="AJ413">
        <v>0.95146799999999998</v>
      </c>
      <c r="AK413">
        <v>0.31194</v>
      </c>
      <c r="AL413">
        <v>0.20508100000000001</v>
      </c>
      <c r="AM413">
        <v>0.70972400000000002</v>
      </c>
      <c r="AN413">
        <f t="shared" si="82"/>
        <v>0.49876186666666666</v>
      </c>
    </row>
    <row r="414" spans="14:40">
      <c r="AC414" t="s">
        <v>567</v>
      </c>
      <c r="AD414">
        <v>12</v>
      </c>
      <c r="AE414">
        <v>20</v>
      </c>
      <c r="AF414">
        <v>8</v>
      </c>
      <c r="AG414">
        <f t="shared" si="83"/>
        <v>40</v>
      </c>
      <c r="AH414">
        <v>0.415271</v>
      </c>
      <c r="AI414">
        <v>0.65606399999999998</v>
      </c>
      <c r="AJ414">
        <v>0.92321600000000004</v>
      </c>
      <c r="AK414">
        <v>0.116817</v>
      </c>
      <c r="AL414">
        <v>9.9654099999999995E-2</v>
      </c>
      <c r="AM414">
        <v>2.1659000000000002</v>
      </c>
      <c r="AN414">
        <f t="shared" si="82"/>
        <v>0.7294870166666666</v>
      </c>
    </row>
    <row r="415" spans="14:40">
      <c r="AC415" t="s">
        <v>568</v>
      </c>
      <c r="AD415">
        <f t="shared" ref="AD415:AF417" si="84">AD414</f>
        <v>12</v>
      </c>
      <c r="AE415">
        <f t="shared" si="84"/>
        <v>20</v>
      </c>
      <c r="AF415">
        <f t="shared" si="84"/>
        <v>8</v>
      </c>
      <c r="AG415">
        <f t="shared" si="83"/>
        <v>40</v>
      </c>
      <c r="AH415">
        <v>0.34810400000000002</v>
      </c>
      <c r="AI415">
        <v>2.3044599999999998E-2</v>
      </c>
      <c r="AJ415">
        <v>4.5708700000000002</v>
      </c>
      <c r="AK415">
        <v>7.2523900000000002E-2</v>
      </c>
      <c r="AL415">
        <v>0.39996599999999999</v>
      </c>
      <c r="AM415">
        <v>0.16827700000000001</v>
      </c>
      <c r="AN415">
        <f t="shared" si="82"/>
        <v>0.93046424999999999</v>
      </c>
    </row>
    <row r="416" spans="14:40">
      <c r="AC416" t="s">
        <v>569</v>
      </c>
      <c r="AD416">
        <f t="shared" si="84"/>
        <v>12</v>
      </c>
      <c r="AE416">
        <f t="shared" si="84"/>
        <v>20</v>
      </c>
      <c r="AF416">
        <f t="shared" si="84"/>
        <v>8</v>
      </c>
      <c r="AG416">
        <f t="shared" si="83"/>
        <v>40</v>
      </c>
      <c r="AH416">
        <v>5.7447100000000001E-2</v>
      </c>
      <c r="AI416">
        <v>0.71079599999999998</v>
      </c>
      <c r="AJ416">
        <v>5.0529400000000004</v>
      </c>
      <c r="AK416">
        <v>0.238987</v>
      </c>
      <c r="AL416">
        <v>0.37724299999999999</v>
      </c>
      <c r="AM416">
        <v>1.94282</v>
      </c>
      <c r="AN416">
        <f t="shared" si="82"/>
        <v>1.3967055166666666</v>
      </c>
    </row>
    <row r="417" spans="29:40">
      <c r="AC417" t="s">
        <v>570</v>
      </c>
      <c r="AD417">
        <f t="shared" si="84"/>
        <v>12</v>
      </c>
      <c r="AE417">
        <f t="shared" si="84"/>
        <v>20</v>
      </c>
      <c r="AF417">
        <f t="shared" si="84"/>
        <v>8</v>
      </c>
      <c r="AG417">
        <f t="shared" si="83"/>
        <v>40</v>
      </c>
      <c r="AH417">
        <v>0.411964</v>
      </c>
      <c r="AI417">
        <v>0.79159100000000004</v>
      </c>
      <c r="AJ417">
        <v>1.1973100000000001</v>
      </c>
      <c r="AK417">
        <v>0.275812</v>
      </c>
      <c r="AL417">
        <v>1.6528799999999999</v>
      </c>
      <c r="AM417">
        <v>3.7409699999999999</v>
      </c>
      <c r="AN417">
        <f t="shared" si="82"/>
        <v>1.3450878333333334</v>
      </c>
    </row>
    <row r="418" spans="29:40">
      <c r="AC418" t="s">
        <v>590</v>
      </c>
      <c r="AD418">
        <f t="shared" ref="AD418:AF422" si="85">AD417</f>
        <v>12</v>
      </c>
      <c r="AE418">
        <f t="shared" si="85"/>
        <v>20</v>
      </c>
      <c r="AF418">
        <f t="shared" si="85"/>
        <v>8</v>
      </c>
      <c r="AG418">
        <f>SUM(AD418:AF418)</f>
        <v>40</v>
      </c>
      <c r="AH418">
        <v>0.81223800000000002</v>
      </c>
      <c r="AI418">
        <v>0.12137199999999999</v>
      </c>
      <c r="AJ418">
        <v>2.64269</v>
      </c>
      <c r="AK418">
        <v>0.21071100000000001</v>
      </c>
      <c r="AL418">
        <v>0.52961000000000003</v>
      </c>
      <c r="AM418">
        <v>3.5420600000000002</v>
      </c>
      <c r="AN418">
        <f t="shared" ref="AN418:AN422" si="86">AVERAGE(AH418:AM418)</f>
        <v>1.3097801666666666</v>
      </c>
    </row>
    <row r="419" spans="29:40">
      <c r="AC419" t="s">
        <v>591</v>
      </c>
      <c r="AD419">
        <f t="shared" si="85"/>
        <v>12</v>
      </c>
      <c r="AE419">
        <f t="shared" si="85"/>
        <v>20</v>
      </c>
      <c r="AF419">
        <f t="shared" si="85"/>
        <v>8</v>
      </c>
      <c r="AG419">
        <f>SUM(AD419:AF419)</f>
        <v>40</v>
      </c>
      <c r="AH419">
        <v>1.0963799999999999</v>
      </c>
      <c r="AI419">
        <v>7.2139099999999998E-2</v>
      </c>
      <c r="AJ419">
        <v>0.50849900000000003</v>
      </c>
      <c r="AK419">
        <v>0.214811</v>
      </c>
      <c r="AL419">
        <v>8.0466300000000004E-2</v>
      </c>
      <c r="AM419">
        <v>1.42058</v>
      </c>
      <c r="AN419">
        <f t="shared" si="86"/>
        <v>0.56547923333333339</v>
      </c>
    </row>
    <row r="420" spans="29:40">
      <c r="AC420" t="s">
        <v>592</v>
      </c>
      <c r="AD420">
        <f t="shared" si="85"/>
        <v>12</v>
      </c>
      <c r="AE420">
        <f t="shared" si="85"/>
        <v>20</v>
      </c>
      <c r="AF420">
        <f t="shared" si="85"/>
        <v>8</v>
      </c>
      <c r="AG420">
        <f t="shared" ref="AG420:AG421" si="87">SUM(AD420:AF420)</f>
        <v>40</v>
      </c>
      <c r="AH420">
        <v>1.82877E-2</v>
      </c>
      <c r="AI420">
        <v>0.127383</v>
      </c>
      <c r="AJ420">
        <v>2.3454899999999999</v>
      </c>
      <c r="AK420">
        <v>0.35645700000000002</v>
      </c>
      <c r="AL420">
        <v>2.2441</v>
      </c>
      <c r="AM420">
        <v>0.38679400000000003</v>
      </c>
      <c r="AN420">
        <f t="shared" si="86"/>
        <v>0.91308528333333339</v>
      </c>
    </row>
    <row r="421" spans="29:40">
      <c r="AC421" t="s">
        <v>593</v>
      </c>
      <c r="AD421">
        <f t="shared" si="85"/>
        <v>12</v>
      </c>
      <c r="AE421">
        <f t="shared" si="85"/>
        <v>20</v>
      </c>
      <c r="AF421">
        <f t="shared" si="85"/>
        <v>8</v>
      </c>
      <c r="AG421">
        <f t="shared" si="87"/>
        <v>40</v>
      </c>
      <c r="AH421">
        <v>0.72258699999999998</v>
      </c>
      <c r="AI421">
        <v>0.27786300000000003</v>
      </c>
      <c r="AJ421">
        <v>1.02688</v>
      </c>
      <c r="AK421">
        <v>7.2067699999999998E-2</v>
      </c>
      <c r="AL421">
        <v>1.04375</v>
      </c>
      <c r="AM421">
        <v>7.3422000000000001</v>
      </c>
      <c r="AN421">
        <f t="shared" si="86"/>
        <v>1.74755795</v>
      </c>
    </row>
    <row r="422" spans="29:40">
      <c r="AC422" t="s">
        <v>594</v>
      </c>
      <c r="AD422">
        <f t="shared" si="85"/>
        <v>12</v>
      </c>
      <c r="AE422">
        <f t="shared" si="85"/>
        <v>20</v>
      </c>
      <c r="AF422">
        <f t="shared" si="85"/>
        <v>8</v>
      </c>
      <c r="AG422">
        <f t="shared" ref="AG422" si="88">SUM(AD422:AF422)</f>
        <v>40</v>
      </c>
      <c r="AH422">
        <v>0.66437400000000002</v>
      </c>
      <c r="AI422">
        <v>0.71597900000000003</v>
      </c>
      <c r="AJ422">
        <v>1.2594700000000001</v>
      </c>
      <c r="AK422">
        <v>1.0585199999999999</v>
      </c>
      <c r="AL422">
        <v>0.78456300000000001</v>
      </c>
      <c r="AM422">
        <v>0.33085399999999998</v>
      </c>
      <c r="AN422">
        <f t="shared" si="86"/>
        <v>0.80229333333333341</v>
      </c>
    </row>
    <row r="423" spans="29:40">
      <c r="AC423" t="s">
        <v>554</v>
      </c>
      <c r="AD423">
        <v>20</v>
      </c>
      <c r="AE423">
        <v>40</v>
      </c>
      <c r="AF423">
        <v>15</v>
      </c>
      <c r="AG423">
        <f>SUM(AD423:AF423)</f>
        <v>75</v>
      </c>
      <c r="AH423">
        <v>0.444629</v>
      </c>
      <c r="AI423">
        <v>1.8807500000000001E-2</v>
      </c>
      <c r="AJ423">
        <v>5.2844299999999997E-2</v>
      </c>
      <c r="AK423">
        <v>0.138766</v>
      </c>
      <c r="AL423">
        <v>0.235871</v>
      </c>
      <c r="AM423">
        <v>1.8635699999999999</v>
      </c>
      <c r="AN423">
        <f t="shared" ref="AN423:AN430" si="89">AVERAGE(AH423:AM423)</f>
        <v>0.45908129999999997</v>
      </c>
    </row>
    <row r="424" spans="29:40">
      <c r="AC424" t="s">
        <v>571</v>
      </c>
      <c r="AD424">
        <v>20</v>
      </c>
      <c r="AE424">
        <v>40</v>
      </c>
      <c r="AF424">
        <v>15</v>
      </c>
      <c r="AG424">
        <f>SUM(AD424:AF424)</f>
        <v>75</v>
      </c>
      <c r="AH424">
        <v>0.29861700000000002</v>
      </c>
      <c r="AI424">
        <v>0.233153</v>
      </c>
      <c r="AJ424">
        <v>2.7438400000000001</v>
      </c>
      <c r="AK424">
        <v>8.1313399999999994E-2</v>
      </c>
      <c r="AL424">
        <v>0.22454399999999999</v>
      </c>
      <c r="AM424">
        <v>2.4600599999999999</v>
      </c>
      <c r="AN424">
        <f t="shared" si="89"/>
        <v>1.0069212333333333</v>
      </c>
    </row>
    <row r="425" spans="29:40">
      <c r="AC425" t="s">
        <v>572</v>
      </c>
      <c r="AD425">
        <f t="shared" ref="AD425:AD430" si="90">AD424</f>
        <v>20</v>
      </c>
      <c r="AE425">
        <f t="shared" ref="AE425:AE430" si="91">AE424</f>
        <v>40</v>
      </c>
      <c r="AF425">
        <f t="shared" ref="AF425:AF430" si="92">AF424</f>
        <v>15</v>
      </c>
      <c r="AG425">
        <f t="shared" ref="AG425:AG428" si="93">SUM(AD425:AF425)</f>
        <v>75</v>
      </c>
      <c r="AH425">
        <v>0.415099</v>
      </c>
      <c r="AI425">
        <v>0.166937</v>
      </c>
      <c r="AJ425">
        <v>0.62793299999999996</v>
      </c>
      <c r="AK425">
        <v>0.24221699999999999</v>
      </c>
      <c r="AL425">
        <v>9.5814899999999998E-3</v>
      </c>
      <c r="AM425">
        <v>0.64537299999999997</v>
      </c>
      <c r="AN425">
        <f t="shared" si="89"/>
        <v>0.35119008166666665</v>
      </c>
    </row>
    <row r="426" spans="29:40">
      <c r="AC426" t="s">
        <v>573</v>
      </c>
      <c r="AD426">
        <f t="shared" si="90"/>
        <v>20</v>
      </c>
      <c r="AE426">
        <f t="shared" si="91"/>
        <v>40</v>
      </c>
      <c r="AF426">
        <f t="shared" si="92"/>
        <v>15</v>
      </c>
      <c r="AG426">
        <f t="shared" si="93"/>
        <v>75</v>
      </c>
      <c r="AH426">
        <v>0.161552</v>
      </c>
      <c r="AI426">
        <v>0.113118</v>
      </c>
      <c r="AJ426">
        <v>0.716055</v>
      </c>
      <c r="AK426">
        <v>2.8173699999999999E-2</v>
      </c>
      <c r="AL426">
        <v>0.163775</v>
      </c>
      <c r="AM426">
        <v>0.93327599999999999</v>
      </c>
      <c r="AN426">
        <f t="shared" si="89"/>
        <v>0.35265828333333332</v>
      </c>
    </row>
    <row r="427" spans="29:40">
      <c r="AC427" t="s">
        <v>574</v>
      </c>
      <c r="AD427">
        <f t="shared" si="90"/>
        <v>20</v>
      </c>
      <c r="AE427">
        <f t="shared" si="91"/>
        <v>40</v>
      </c>
      <c r="AF427">
        <f t="shared" si="92"/>
        <v>15</v>
      </c>
      <c r="AG427">
        <f t="shared" si="93"/>
        <v>75</v>
      </c>
      <c r="AH427">
        <v>9.8105800000000007E-2</v>
      </c>
      <c r="AI427">
        <v>0.20158400000000001</v>
      </c>
      <c r="AJ427">
        <v>0.430977</v>
      </c>
      <c r="AK427">
        <v>0.106866</v>
      </c>
      <c r="AL427">
        <v>0.15814600000000001</v>
      </c>
      <c r="AM427">
        <v>1.1753400000000001</v>
      </c>
      <c r="AN427">
        <f t="shared" si="89"/>
        <v>0.36183646666666669</v>
      </c>
    </row>
    <row r="428" spans="29:40">
      <c r="AC428" t="s">
        <v>575</v>
      </c>
      <c r="AD428">
        <f t="shared" si="90"/>
        <v>20</v>
      </c>
      <c r="AE428">
        <f t="shared" si="91"/>
        <v>40</v>
      </c>
      <c r="AF428">
        <f t="shared" si="92"/>
        <v>15</v>
      </c>
      <c r="AG428">
        <f t="shared" si="93"/>
        <v>75</v>
      </c>
      <c r="AH428">
        <v>0.53667299999999996</v>
      </c>
      <c r="AI428">
        <v>0.393455</v>
      </c>
      <c r="AJ428">
        <v>1.7974600000000001</v>
      </c>
      <c r="AK428">
        <v>0.128332</v>
      </c>
      <c r="AL428">
        <v>0.191437</v>
      </c>
      <c r="AM428">
        <v>1.4563600000000001</v>
      </c>
      <c r="AN428">
        <f t="shared" si="89"/>
        <v>0.7506195</v>
      </c>
    </row>
    <row r="429" spans="29:40">
      <c r="AC429" t="s">
        <v>595</v>
      </c>
      <c r="AD429">
        <f t="shared" si="90"/>
        <v>20</v>
      </c>
      <c r="AE429">
        <f t="shared" si="91"/>
        <v>40</v>
      </c>
      <c r="AF429">
        <f t="shared" si="92"/>
        <v>15</v>
      </c>
      <c r="AG429">
        <f t="shared" ref="AG429:AG430" si="94">SUM(AD429:AF429)</f>
        <v>75</v>
      </c>
      <c r="AH429">
        <v>0.16078999999999999</v>
      </c>
      <c r="AI429">
        <v>0.18659000000000001</v>
      </c>
      <c r="AJ429">
        <v>1.44791</v>
      </c>
      <c r="AK429">
        <v>0.104933</v>
      </c>
      <c r="AL429">
        <v>0.177759</v>
      </c>
      <c r="AM429">
        <v>0.71640700000000002</v>
      </c>
      <c r="AN429">
        <f t="shared" si="89"/>
        <v>0.46573149999999996</v>
      </c>
    </row>
    <row r="430" spans="29:40">
      <c r="AC430" t="s">
        <v>596</v>
      </c>
      <c r="AD430">
        <f t="shared" si="90"/>
        <v>20</v>
      </c>
      <c r="AE430">
        <f t="shared" si="91"/>
        <v>40</v>
      </c>
      <c r="AF430">
        <f t="shared" si="92"/>
        <v>15</v>
      </c>
      <c r="AG430">
        <f t="shared" si="94"/>
        <v>75</v>
      </c>
      <c r="AH430">
        <v>0.39429700000000001</v>
      </c>
      <c r="AI430">
        <v>9.0608999999999995E-2</v>
      </c>
      <c r="AJ430">
        <v>1.88182</v>
      </c>
      <c r="AK430">
        <v>0.14594399999999999</v>
      </c>
      <c r="AL430">
        <v>2.7221100000000002E-2</v>
      </c>
      <c r="AM430">
        <v>0.46518100000000001</v>
      </c>
      <c r="AN430">
        <f t="shared" si="89"/>
        <v>0.50084534999999997</v>
      </c>
    </row>
    <row r="431" spans="29:40">
      <c r="AC431" t="s">
        <v>555</v>
      </c>
      <c r="AD431">
        <v>30</v>
      </c>
      <c r="AE431">
        <v>60</v>
      </c>
      <c r="AF431">
        <v>25</v>
      </c>
      <c r="AG431">
        <f t="shared" ref="AG431:AG436" si="95">SUM(AD431:AF431)</f>
        <v>115</v>
      </c>
      <c r="AH431">
        <v>0.109289</v>
      </c>
      <c r="AI431">
        <v>0.14252999999999999</v>
      </c>
      <c r="AJ431">
        <v>0.58601499999999995</v>
      </c>
      <c r="AK431">
        <v>0.14077799999999999</v>
      </c>
      <c r="AL431">
        <v>7.9589900000000009E-3</v>
      </c>
      <c r="AM431">
        <v>0.54986999999999997</v>
      </c>
      <c r="AN431">
        <f t="shared" ref="AN431:AN436" si="96">AVERAGE(AH431:AM431)</f>
        <v>0.25607349833333332</v>
      </c>
    </row>
    <row r="432" spans="29:40">
      <c r="AC432" t="s">
        <v>576</v>
      </c>
      <c r="AD432">
        <v>30</v>
      </c>
      <c r="AE432">
        <v>60</v>
      </c>
      <c r="AF432">
        <v>25</v>
      </c>
      <c r="AG432">
        <f t="shared" si="95"/>
        <v>115</v>
      </c>
      <c r="AH432">
        <v>7.4297500000000002E-2</v>
      </c>
      <c r="AI432">
        <v>0.30209200000000003</v>
      </c>
      <c r="AJ432">
        <v>0.16411600000000001</v>
      </c>
      <c r="AK432">
        <v>0.263573</v>
      </c>
      <c r="AL432">
        <v>6.5592399999999995E-2</v>
      </c>
      <c r="AM432">
        <v>1.86256</v>
      </c>
      <c r="AN432">
        <f t="shared" si="96"/>
        <v>0.45537181666666671</v>
      </c>
    </row>
    <row r="433" spans="29:40">
      <c r="AC433" t="s">
        <v>577</v>
      </c>
      <c r="AD433">
        <f t="shared" ref="AD433:AF436" si="97">AD432</f>
        <v>30</v>
      </c>
      <c r="AE433">
        <f t="shared" si="97"/>
        <v>60</v>
      </c>
      <c r="AF433">
        <f t="shared" si="97"/>
        <v>25</v>
      </c>
      <c r="AG433">
        <f t="shared" si="95"/>
        <v>115</v>
      </c>
      <c r="AH433">
        <v>5.5135799999999999E-2</v>
      </c>
      <c r="AI433">
        <v>3.4566399999999997E-2</v>
      </c>
      <c r="AJ433">
        <v>0.76542200000000005</v>
      </c>
      <c r="AK433">
        <v>3.6220299999999997E-2</v>
      </c>
      <c r="AL433">
        <v>0.17487800000000001</v>
      </c>
      <c r="AM433">
        <v>0.72629900000000003</v>
      </c>
      <c r="AN433">
        <f t="shared" si="96"/>
        <v>0.29875358333333335</v>
      </c>
    </row>
    <row r="434" spans="29:40">
      <c r="AC434" t="s">
        <v>578</v>
      </c>
      <c r="AD434">
        <f t="shared" si="97"/>
        <v>30</v>
      </c>
      <c r="AE434">
        <f t="shared" si="97"/>
        <v>60</v>
      </c>
      <c r="AF434">
        <f t="shared" si="97"/>
        <v>25</v>
      </c>
      <c r="AG434">
        <f t="shared" si="95"/>
        <v>115</v>
      </c>
      <c r="AH434">
        <v>0.240842</v>
      </c>
      <c r="AI434">
        <v>5.8784800000000002E-3</v>
      </c>
      <c r="AJ434">
        <v>0.29561199999999999</v>
      </c>
      <c r="AK434">
        <v>0.13450200000000001</v>
      </c>
      <c r="AL434">
        <v>0.246506</v>
      </c>
      <c r="AM434">
        <v>1.8071699999999999</v>
      </c>
      <c r="AN434">
        <f t="shared" si="96"/>
        <v>0.45508507999999998</v>
      </c>
    </row>
    <row r="435" spans="29:40">
      <c r="AC435" t="s">
        <v>579</v>
      </c>
      <c r="AD435">
        <f t="shared" si="97"/>
        <v>30</v>
      </c>
      <c r="AE435">
        <f t="shared" si="97"/>
        <v>60</v>
      </c>
      <c r="AF435">
        <f t="shared" si="97"/>
        <v>25</v>
      </c>
      <c r="AG435">
        <f t="shared" si="95"/>
        <v>115</v>
      </c>
      <c r="AH435">
        <v>0.22185099999999999</v>
      </c>
      <c r="AI435">
        <v>5.0642199999999998E-2</v>
      </c>
      <c r="AJ435">
        <v>0.41488399999999998</v>
      </c>
      <c r="AK435">
        <v>2.86421E-2</v>
      </c>
      <c r="AL435">
        <v>4.4491900000000001E-2</v>
      </c>
      <c r="AM435">
        <v>1.6837200000000001</v>
      </c>
      <c r="AN435">
        <f t="shared" si="96"/>
        <v>0.40737186666666664</v>
      </c>
    </row>
    <row r="436" spans="29:40">
      <c r="AC436" t="s">
        <v>580</v>
      </c>
      <c r="AD436">
        <f t="shared" si="97"/>
        <v>30</v>
      </c>
      <c r="AE436">
        <f t="shared" si="97"/>
        <v>60</v>
      </c>
      <c r="AF436">
        <f t="shared" si="97"/>
        <v>25</v>
      </c>
      <c r="AG436">
        <f t="shared" si="95"/>
        <v>115</v>
      </c>
      <c r="AH436">
        <v>0.157946</v>
      </c>
      <c r="AI436">
        <v>0.2051</v>
      </c>
      <c r="AJ436">
        <v>1.0593399999999999</v>
      </c>
      <c r="AK436">
        <v>3.0967100000000001E-2</v>
      </c>
      <c r="AL436">
        <v>3.1119000000000001E-2</v>
      </c>
      <c r="AM436">
        <v>1.10568</v>
      </c>
      <c r="AN436">
        <f t="shared" si="96"/>
        <v>0.43169201666666668</v>
      </c>
    </row>
    <row r="437" spans="29:40">
      <c r="AC437" t="s">
        <v>586</v>
      </c>
      <c r="AD437">
        <f t="shared" ref="AD437:AD444" si="98">AD436</f>
        <v>30</v>
      </c>
      <c r="AE437">
        <f t="shared" ref="AE437:AE444" si="99">AE436</f>
        <v>60</v>
      </c>
      <c r="AF437">
        <f t="shared" ref="AF437:AF444" si="100">AF436</f>
        <v>25</v>
      </c>
      <c r="AG437">
        <f t="shared" ref="AG437:AG440" si="101">SUM(AD437:AF437)</f>
        <v>115</v>
      </c>
      <c r="AH437">
        <v>0.15534500000000001</v>
      </c>
      <c r="AI437">
        <v>8.4262500000000004E-2</v>
      </c>
      <c r="AJ437">
        <v>1.2892199999999999E-2</v>
      </c>
      <c r="AK437">
        <v>1.8091300000000001E-2</v>
      </c>
      <c r="AL437">
        <v>0.153664</v>
      </c>
      <c r="AM437">
        <v>0.85744600000000004</v>
      </c>
      <c r="AN437">
        <f t="shared" ref="AN437:AN444" si="102">AVERAGE(AH437:AM437)</f>
        <v>0.21361683333333334</v>
      </c>
    </row>
    <row r="438" spans="29:40">
      <c r="AC438" t="s">
        <v>587</v>
      </c>
      <c r="AD438">
        <f t="shared" si="98"/>
        <v>30</v>
      </c>
      <c r="AE438">
        <f t="shared" si="99"/>
        <v>60</v>
      </c>
      <c r="AF438">
        <f t="shared" si="100"/>
        <v>25</v>
      </c>
      <c r="AG438">
        <f t="shared" si="101"/>
        <v>115</v>
      </c>
      <c r="AH438">
        <v>0.115802</v>
      </c>
      <c r="AI438">
        <v>1.75311E-3</v>
      </c>
      <c r="AJ438">
        <v>1.1935100000000001</v>
      </c>
      <c r="AK438">
        <v>0.163602</v>
      </c>
      <c r="AL438">
        <v>3.3232200000000003E-2</v>
      </c>
      <c r="AM438">
        <v>0.38466699999999998</v>
      </c>
      <c r="AN438">
        <f t="shared" si="102"/>
        <v>0.31542771833333338</v>
      </c>
    </row>
    <row r="439" spans="29:40">
      <c r="AC439" t="s">
        <v>588</v>
      </c>
      <c r="AD439">
        <f t="shared" si="98"/>
        <v>30</v>
      </c>
      <c r="AE439">
        <f t="shared" si="99"/>
        <v>60</v>
      </c>
      <c r="AF439">
        <f t="shared" si="100"/>
        <v>25</v>
      </c>
      <c r="AG439">
        <f t="shared" si="101"/>
        <v>115</v>
      </c>
      <c r="AH439">
        <v>0.24296000000000001</v>
      </c>
      <c r="AI439">
        <v>0.111873</v>
      </c>
      <c r="AJ439">
        <v>1.0835699999999999</v>
      </c>
      <c r="AK439">
        <v>0.13021199999999999</v>
      </c>
      <c r="AL439">
        <v>4.3838299999999997E-2</v>
      </c>
      <c r="AM439">
        <v>1.42387</v>
      </c>
      <c r="AN439">
        <f t="shared" si="102"/>
        <v>0.50605388333333334</v>
      </c>
    </row>
    <row r="440" spans="29:40">
      <c r="AC440" t="s">
        <v>589</v>
      </c>
      <c r="AD440">
        <f t="shared" si="98"/>
        <v>30</v>
      </c>
      <c r="AE440">
        <f t="shared" si="99"/>
        <v>60</v>
      </c>
      <c r="AF440">
        <f t="shared" si="100"/>
        <v>25</v>
      </c>
      <c r="AG440">
        <f t="shared" si="101"/>
        <v>115</v>
      </c>
      <c r="AH440">
        <v>4.0974999999999998E-2</v>
      </c>
      <c r="AI440">
        <v>2.6078E-2</v>
      </c>
      <c r="AJ440">
        <v>1.81375</v>
      </c>
      <c r="AK440">
        <v>5.4205200000000002E-2</v>
      </c>
      <c r="AL440">
        <v>5.9547799999999998E-2</v>
      </c>
      <c r="AM440">
        <v>0.55811299999999997</v>
      </c>
      <c r="AN440">
        <f t="shared" si="102"/>
        <v>0.42544483333333333</v>
      </c>
    </row>
    <row r="441" spans="29:40">
      <c r="AC441" t="s">
        <v>604</v>
      </c>
      <c r="AD441">
        <f t="shared" si="98"/>
        <v>30</v>
      </c>
      <c r="AE441">
        <f t="shared" si="99"/>
        <v>60</v>
      </c>
      <c r="AF441">
        <f t="shared" si="100"/>
        <v>25</v>
      </c>
      <c r="AG441">
        <f t="shared" ref="AG441:AG444" si="103">SUM(AD441:AF441)</f>
        <v>115</v>
      </c>
      <c r="AH441">
        <v>0.17924999999999999</v>
      </c>
      <c r="AI441">
        <v>8.5813799999999996E-2</v>
      </c>
      <c r="AJ441">
        <v>0.69540299999999999</v>
      </c>
      <c r="AK441">
        <v>0.25453999999999999</v>
      </c>
      <c r="AL441">
        <v>1.0255399999999999E-3</v>
      </c>
      <c r="AM441">
        <v>0.38218999999999997</v>
      </c>
      <c r="AN441">
        <f t="shared" si="102"/>
        <v>0.26637039000000001</v>
      </c>
    </row>
    <row r="442" spans="29:40">
      <c r="AC442" t="s">
        <v>605</v>
      </c>
      <c r="AD442">
        <f t="shared" si="98"/>
        <v>30</v>
      </c>
      <c r="AE442">
        <f t="shared" si="99"/>
        <v>60</v>
      </c>
      <c r="AF442">
        <f t="shared" si="100"/>
        <v>25</v>
      </c>
      <c r="AG442">
        <f t="shared" si="103"/>
        <v>115</v>
      </c>
      <c r="AH442">
        <v>0.38429600000000003</v>
      </c>
      <c r="AI442">
        <v>9.6200499999999994E-2</v>
      </c>
      <c r="AJ442">
        <v>0.13805500000000001</v>
      </c>
      <c r="AK442">
        <v>5.3866600000000001E-2</v>
      </c>
      <c r="AL442">
        <v>1.5328100000000001E-2</v>
      </c>
      <c r="AM442">
        <v>7.5241100000000005E-2</v>
      </c>
      <c r="AN442">
        <f t="shared" si="102"/>
        <v>0.12716455000000002</v>
      </c>
    </row>
    <row r="443" spans="29:40">
      <c r="AC443" t="s">
        <v>606</v>
      </c>
      <c r="AD443">
        <f t="shared" si="98"/>
        <v>30</v>
      </c>
      <c r="AE443">
        <f t="shared" si="99"/>
        <v>60</v>
      </c>
      <c r="AF443">
        <f t="shared" si="100"/>
        <v>25</v>
      </c>
      <c r="AG443">
        <f t="shared" si="103"/>
        <v>115</v>
      </c>
      <c r="AH443">
        <v>9.8097699999999996E-2</v>
      </c>
      <c r="AI443">
        <v>5.7403299999999997E-2</v>
      </c>
      <c r="AJ443">
        <v>2.5702099999999999</v>
      </c>
      <c r="AK443">
        <v>4.60384E-2</v>
      </c>
      <c r="AL443">
        <v>5.9431999999999999E-2</v>
      </c>
      <c r="AM443">
        <v>0.42780000000000001</v>
      </c>
      <c r="AN443">
        <f t="shared" si="102"/>
        <v>0.54316356666666665</v>
      </c>
    </row>
    <row r="444" spans="29:40">
      <c r="AC444" t="s">
        <v>607</v>
      </c>
      <c r="AD444">
        <f t="shared" si="98"/>
        <v>30</v>
      </c>
      <c r="AE444">
        <f t="shared" si="99"/>
        <v>60</v>
      </c>
      <c r="AF444">
        <f t="shared" si="100"/>
        <v>25</v>
      </c>
      <c r="AG444">
        <f t="shared" si="103"/>
        <v>115</v>
      </c>
      <c r="AH444">
        <v>0.24288899999999999</v>
      </c>
      <c r="AI444">
        <v>3.4646299999999998E-2</v>
      </c>
      <c r="AJ444">
        <v>1.82823</v>
      </c>
      <c r="AK444">
        <v>2.7559899999999998E-2</v>
      </c>
      <c r="AL444">
        <v>0.23635100000000001</v>
      </c>
      <c r="AM444">
        <v>0.71486099999999997</v>
      </c>
      <c r="AN444">
        <f t="shared" si="102"/>
        <v>0.51408953333333329</v>
      </c>
    </row>
    <row r="445" spans="29:40">
      <c r="AC445" t="s">
        <v>556</v>
      </c>
      <c r="AD445">
        <v>50</v>
      </c>
      <c r="AE445">
        <v>100</v>
      </c>
      <c r="AF445">
        <v>40</v>
      </c>
      <c r="AG445">
        <f>SUM(AD445:AF445)</f>
        <v>190</v>
      </c>
      <c r="AH445">
        <v>9.7589599999999999E-2</v>
      </c>
      <c r="AI445">
        <v>1.04666E-2</v>
      </c>
      <c r="AJ445">
        <v>0.59862499999999996</v>
      </c>
      <c r="AK445">
        <v>5.7722799999999998E-2</v>
      </c>
      <c r="AL445">
        <v>2.6374499999999999E-2</v>
      </c>
      <c r="AM445">
        <v>0.609931</v>
      </c>
      <c r="AN445">
        <f>AVERAGE(AH445:AM445)</f>
        <v>0.23345158333333335</v>
      </c>
    </row>
    <row r="446" spans="29:40">
      <c r="AC446" t="s">
        <v>581</v>
      </c>
      <c r="AD446">
        <v>50</v>
      </c>
      <c r="AE446">
        <v>100</v>
      </c>
      <c r="AF446">
        <v>40</v>
      </c>
      <c r="AG446">
        <f>SUM(AD446:AF446)</f>
        <v>190</v>
      </c>
      <c r="AH446">
        <v>3.42151E-3</v>
      </c>
      <c r="AI446">
        <v>4.6793599999999998E-2</v>
      </c>
      <c r="AJ446">
        <v>0.51502700000000001</v>
      </c>
      <c r="AK446">
        <v>3.1795900000000002E-2</v>
      </c>
      <c r="AL446">
        <v>2.5405500000000001E-2</v>
      </c>
      <c r="AM446">
        <v>3.8341899999999998E-2</v>
      </c>
      <c r="AN446">
        <f>AVERAGE(AH446:AM446)</f>
        <v>0.11013090166666667</v>
      </c>
    </row>
    <row r="460" spans="14:40">
      <c r="N460" s="30" t="s">
        <v>630</v>
      </c>
      <c r="T460" s="30" t="s">
        <v>631</v>
      </c>
    </row>
    <row r="461" spans="14:40">
      <c r="N461" t="s">
        <v>612</v>
      </c>
      <c r="O461" t="s">
        <v>479</v>
      </c>
      <c r="P461" t="s">
        <v>611</v>
      </c>
      <c r="Q461" t="s">
        <v>610</v>
      </c>
      <c r="R461" t="s">
        <v>609</v>
      </c>
      <c r="S461" t="s">
        <v>608</v>
      </c>
      <c r="T461" t="s">
        <v>612</v>
      </c>
      <c r="U461" t="s">
        <v>479</v>
      </c>
      <c r="V461" t="s">
        <v>611</v>
      </c>
      <c r="W461" t="s">
        <v>610</v>
      </c>
      <c r="X461" t="s">
        <v>609</v>
      </c>
      <c r="Y461" t="s">
        <v>608</v>
      </c>
      <c r="Z461" t="s">
        <v>180</v>
      </c>
      <c r="AA461" t="s">
        <v>420</v>
      </c>
      <c r="AC461" s="120" t="s">
        <v>585</v>
      </c>
      <c r="AH461" t="s">
        <v>638</v>
      </c>
      <c r="AI461" t="s">
        <v>639</v>
      </c>
      <c r="AJ461" t="s">
        <v>640</v>
      </c>
      <c r="AK461" t="s">
        <v>610</v>
      </c>
      <c r="AL461" t="s">
        <v>609</v>
      </c>
      <c r="AM461" t="s">
        <v>608</v>
      </c>
    </row>
    <row r="462" spans="14:40">
      <c r="N462">
        <f>AD462^2</f>
        <v>36</v>
      </c>
      <c r="O462">
        <f>AD462*AE462</f>
        <v>72</v>
      </c>
      <c r="P462">
        <f>AD462*AF462</f>
        <v>24</v>
      </c>
      <c r="Q462">
        <f>AD462*AE462</f>
        <v>72</v>
      </c>
      <c r="R462">
        <f>AE462^2</f>
        <v>144</v>
      </c>
      <c r="S462">
        <f>AE462*AF462</f>
        <v>48</v>
      </c>
      <c r="T462">
        <f>AVERAGE(AH462:AH468)</f>
        <v>2.79515</v>
      </c>
      <c r="U462">
        <f>AVERAGE(AI462:AI468)</f>
        <v>2.6667922857142856</v>
      </c>
      <c r="V462">
        <f>AVERAGE(AJ462:AJ468)</f>
        <v>6.0220416714285721</v>
      </c>
      <c r="W462">
        <f>AVERAGE(AK462:AK468)</f>
        <v>3.1609592857142852</v>
      </c>
      <c r="X462">
        <f>AVERAGE(AL462:AL468)</f>
        <v>6.9714885714285719</v>
      </c>
      <c r="Y462">
        <f>AVERAGE(AM462:AM469)</f>
        <v>13.096046250000001</v>
      </c>
      <c r="Z462">
        <f>AG462</f>
        <v>22</v>
      </c>
      <c r="AA462">
        <f>AVERAGE(AN462:AN468)</f>
        <v>6.0298691119047616</v>
      </c>
      <c r="AC462" s="120" t="s">
        <v>582</v>
      </c>
      <c r="AD462" s="120">
        <f>AD404</f>
        <v>6</v>
      </c>
      <c r="AE462" s="120">
        <f>AE404</f>
        <v>12</v>
      </c>
      <c r="AF462" s="120">
        <f>AF404</f>
        <v>4</v>
      </c>
      <c r="AG462" s="120">
        <f>SUM(AD462:AF462)</f>
        <v>22</v>
      </c>
      <c r="AH462" s="120">
        <v>2.3425500000000001</v>
      </c>
      <c r="AI462" s="120">
        <v>5.7244299999999999</v>
      </c>
      <c r="AJ462" s="120">
        <v>3.43364</v>
      </c>
      <c r="AK462" s="120">
        <v>1.0709299999999999</v>
      </c>
      <c r="AL462" s="120">
        <v>4.5711500000000003</v>
      </c>
      <c r="AM462" s="120">
        <v>5.6156300000000003</v>
      </c>
      <c r="AN462" s="120">
        <f>AVERAGE(AH462:AM462)</f>
        <v>3.7930550000000003</v>
      </c>
    </row>
    <row r="463" spans="14:40">
      <c r="N463">
        <f>AD469^2</f>
        <v>900</v>
      </c>
      <c r="O463">
        <f>AD469*AE469</f>
        <v>1800</v>
      </c>
      <c r="P463">
        <f>AD470*AF470</f>
        <v>750</v>
      </c>
      <c r="Q463">
        <f>AD471*AE471</f>
        <v>1800</v>
      </c>
      <c r="R463">
        <f>AE470^2</f>
        <v>3600</v>
      </c>
      <c r="S463">
        <f>AE470*AF470</f>
        <v>1500</v>
      </c>
      <c r="T463">
        <f t="shared" ref="T463:Y463" si="104">AVERAGE(AH469:AH474)</f>
        <v>0.59706016666666673</v>
      </c>
      <c r="U463">
        <f t="shared" si="104"/>
        <v>0.98915950000000008</v>
      </c>
      <c r="V463">
        <f t="shared" si="104"/>
        <v>1.1840656666666669</v>
      </c>
      <c r="W463">
        <f t="shared" si="104"/>
        <v>1.3526213333333335</v>
      </c>
      <c r="X463">
        <f t="shared" si="104"/>
        <v>5.6855766666666669</v>
      </c>
      <c r="Y463">
        <f t="shared" si="104"/>
        <v>3.3207974999999998</v>
      </c>
      <c r="Z463">
        <f>AG469</f>
        <v>115</v>
      </c>
      <c r="AA463">
        <f>AVERAGE(AN469:AN474)</f>
        <v>2.1882134722222224</v>
      </c>
      <c r="AC463" t="s">
        <v>615</v>
      </c>
      <c r="AD463">
        <f>AD462</f>
        <v>6</v>
      </c>
      <c r="AE463">
        <f t="shared" ref="AE463:AF463" si="105">AE462</f>
        <v>12</v>
      </c>
      <c r="AF463">
        <f t="shared" si="105"/>
        <v>4</v>
      </c>
      <c r="AG463">
        <f t="shared" ref="AG463" si="106">SUM(AD463:AF463)</f>
        <v>22</v>
      </c>
      <c r="AH463">
        <v>5.2868500000000003</v>
      </c>
      <c r="AI463">
        <v>0.22778599999999999</v>
      </c>
      <c r="AJ463">
        <v>2.5491699999999999E-2</v>
      </c>
      <c r="AK463">
        <v>6.2786900000000001</v>
      </c>
      <c r="AL463">
        <v>18.362300000000001</v>
      </c>
      <c r="AM463">
        <v>18.144300000000001</v>
      </c>
      <c r="AN463">
        <f>AVERAGE(AH463:AM463)</f>
        <v>8.0542362833333332</v>
      </c>
    </row>
    <row r="464" spans="14:40">
      <c r="N464">
        <f>AD478^2</f>
        <v>22500</v>
      </c>
      <c r="O464">
        <f>AD477*AE477</f>
        <v>30000</v>
      </c>
      <c r="P464">
        <f>AD477*AF477</f>
        <v>12750</v>
      </c>
      <c r="Q464">
        <f>AD478*AE478</f>
        <v>30000</v>
      </c>
      <c r="R464">
        <f>AE477^2</f>
        <v>40000</v>
      </c>
      <c r="S464">
        <f>AE478*AF478</f>
        <v>17000</v>
      </c>
      <c r="T464">
        <f t="shared" ref="T464:Y464" si="107">AVERAGE(AH477:AH480)</f>
        <v>8.2302874999999998E-2</v>
      </c>
      <c r="U464">
        <f t="shared" si="107"/>
        <v>0.15560404999999997</v>
      </c>
      <c r="V464">
        <f t="shared" si="107"/>
        <v>0.190804</v>
      </c>
      <c r="W464">
        <f t="shared" si="107"/>
        <v>1.1827084749999999</v>
      </c>
      <c r="X464">
        <f t="shared" si="107"/>
        <v>4.2670487499999998</v>
      </c>
      <c r="Y464">
        <f t="shared" si="107"/>
        <v>0.49733549999999999</v>
      </c>
      <c r="Z464">
        <f>AG477</f>
        <v>435</v>
      </c>
      <c r="AA464">
        <f>AVERAGE(AN477:AN480)</f>
        <v>1.0626339416666668</v>
      </c>
      <c r="AC464" t="s">
        <v>620</v>
      </c>
      <c r="AD464">
        <f>AD463</f>
        <v>6</v>
      </c>
      <c r="AE464">
        <f t="shared" ref="AE464:AE468" si="108">AE463</f>
        <v>12</v>
      </c>
      <c r="AF464">
        <f t="shared" ref="AF464:AF468" si="109">AF463</f>
        <v>4</v>
      </c>
      <c r="AG464">
        <f t="shared" ref="AG464:AG465" si="110">SUM(AD464:AF464)</f>
        <v>22</v>
      </c>
      <c r="AH464">
        <v>3.5611100000000002</v>
      </c>
      <c r="AI464">
        <v>2.1920799999999998</v>
      </c>
      <c r="AJ464">
        <v>16.1751</v>
      </c>
      <c r="AK464">
        <v>5.7517199999999997</v>
      </c>
      <c r="AL464">
        <v>5.6444999999999999</v>
      </c>
      <c r="AM464">
        <v>16.7087</v>
      </c>
      <c r="AN464">
        <f>AVERAGE(AH464:AM464)</f>
        <v>8.3388683333333322</v>
      </c>
    </row>
    <row r="465" spans="14:40">
      <c r="N465">
        <f>AD481^2</f>
        <v>62500</v>
      </c>
      <c r="O465">
        <f>AD481*AE481</f>
        <v>75000</v>
      </c>
      <c r="P465">
        <f>AD481*AF481</f>
        <v>25000</v>
      </c>
      <c r="Q465">
        <f>AD481*AE481</f>
        <v>75000</v>
      </c>
      <c r="R465">
        <f>AE481^2</f>
        <v>90000</v>
      </c>
      <c r="S465">
        <f>AE481*AF481</f>
        <v>30000</v>
      </c>
      <c r="T465">
        <f t="shared" ref="T465:Y465" si="111">AVERAGE(AH481:AH484)</f>
        <v>4.0849525500000004E-2</v>
      </c>
      <c r="U465">
        <f t="shared" si="111"/>
        <v>8.529405000000001E-2</v>
      </c>
      <c r="V465">
        <f t="shared" si="111"/>
        <v>0.13145580000000001</v>
      </c>
      <c r="W465">
        <f t="shared" si="111"/>
        <v>0.29140284999999999</v>
      </c>
      <c r="X465">
        <f t="shared" si="111"/>
        <v>0.95248574999999991</v>
      </c>
      <c r="Y465">
        <f t="shared" si="111"/>
        <v>3.7919650000000003</v>
      </c>
      <c r="Z465">
        <f>AG481</f>
        <v>650</v>
      </c>
      <c r="AA465">
        <f>AVERAGE(AN481:AN484)</f>
        <v>0.88224216258333343</v>
      </c>
      <c r="AC465" t="s">
        <v>634</v>
      </c>
      <c r="AD465">
        <f>AD464</f>
        <v>6</v>
      </c>
      <c r="AE465">
        <f t="shared" si="108"/>
        <v>12</v>
      </c>
      <c r="AF465">
        <f t="shared" si="109"/>
        <v>4</v>
      </c>
      <c r="AG465">
        <f t="shared" si="110"/>
        <v>22</v>
      </c>
      <c r="AH465">
        <v>3.76884</v>
      </c>
      <c r="AI465">
        <v>4.5598299999999998</v>
      </c>
      <c r="AJ465">
        <v>9.7515499999999999</v>
      </c>
      <c r="AK465">
        <v>0.55834499999999998</v>
      </c>
      <c r="AL465">
        <v>2.6350899999999999</v>
      </c>
      <c r="AM465">
        <v>2.3183500000000001</v>
      </c>
      <c r="AN465">
        <f>AVERAGE(AH465:AM465)</f>
        <v>3.9320008333333329</v>
      </c>
    </row>
    <row r="466" spans="14:40">
      <c r="AC466" t="s">
        <v>635</v>
      </c>
      <c r="AD466">
        <f t="shared" ref="AD466:AD468" si="112">AD465</f>
        <v>6</v>
      </c>
      <c r="AE466">
        <f t="shared" si="108"/>
        <v>12</v>
      </c>
      <c r="AF466">
        <f t="shared" si="109"/>
        <v>4</v>
      </c>
      <c r="AG466">
        <f t="shared" ref="AG466:AG467" si="113">SUM(AD466:AF466)</f>
        <v>22</v>
      </c>
      <c r="AH466">
        <v>1.0117400000000001</v>
      </c>
      <c r="AI466">
        <v>0.62751000000000001</v>
      </c>
      <c r="AJ466">
        <v>3.67903</v>
      </c>
      <c r="AK466">
        <v>3.0894400000000002</v>
      </c>
      <c r="AL466">
        <v>5.8182499999999999</v>
      </c>
      <c r="AM466">
        <v>16.171399999999998</v>
      </c>
      <c r="AN466">
        <f t="shared" ref="AN466:AN468" si="114">AVERAGE(AH466:AM466)</f>
        <v>5.0662283333333331</v>
      </c>
    </row>
    <row r="467" spans="14:40">
      <c r="N467">
        <f>LOG10(N462)</f>
        <v>1.5563025007672873</v>
      </c>
      <c r="O467">
        <f t="shared" ref="O467:Y467" si="115">LOG10(O462)</f>
        <v>1.8573324964312685</v>
      </c>
      <c r="P467">
        <f t="shared" si="115"/>
        <v>1.3802112417116059</v>
      </c>
      <c r="Q467">
        <f t="shared" si="115"/>
        <v>1.8573324964312685</v>
      </c>
      <c r="R467">
        <f t="shared" si="115"/>
        <v>2.1583624920952498</v>
      </c>
      <c r="S467">
        <f t="shared" si="115"/>
        <v>1.6812412373755872</v>
      </c>
      <c r="T467">
        <f t="shared" si="115"/>
        <v>0.44640511899320895</v>
      </c>
      <c r="U467">
        <f t="shared" si="115"/>
        <v>0.42598919016262959</v>
      </c>
      <c r="V467">
        <f t="shared" si="115"/>
        <v>0.77974375642563876</v>
      </c>
      <c r="W467">
        <f t="shared" si="115"/>
        <v>0.49981890200740786</v>
      </c>
      <c r="X467">
        <f t="shared" si="115"/>
        <v>0.84332551975274628</v>
      </c>
      <c r="Y467">
        <f t="shared" si="115"/>
        <v>1.1171402001610873</v>
      </c>
      <c r="AC467" t="s">
        <v>636</v>
      </c>
      <c r="AD467">
        <f t="shared" si="112"/>
        <v>6</v>
      </c>
      <c r="AE467">
        <f t="shared" si="108"/>
        <v>12</v>
      </c>
      <c r="AF467">
        <f t="shared" si="109"/>
        <v>4</v>
      </c>
      <c r="AG467">
        <f t="shared" si="113"/>
        <v>22</v>
      </c>
      <c r="AH467">
        <v>3.2061700000000002</v>
      </c>
      <c r="AI467">
        <v>2.4135900000000001</v>
      </c>
      <c r="AJ467">
        <v>4.4734800000000003</v>
      </c>
      <c r="AK467">
        <v>2.4795699999999998</v>
      </c>
      <c r="AL467">
        <v>5.8182099999999997</v>
      </c>
      <c r="AM467">
        <v>26.8597</v>
      </c>
      <c r="AN467">
        <f t="shared" si="114"/>
        <v>7.5417866666666669</v>
      </c>
    </row>
    <row r="468" spans="14:40">
      <c r="N468">
        <f t="shared" ref="N468:Y468" si="116">LOG10(N463)</f>
        <v>2.9542425094393248</v>
      </c>
      <c r="O468">
        <f t="shared" si="116"/>
        <v>3.255272505103306</v>
      </c>
      <c r="P468">
        <f t="shared" si="116"/>
        <v>2.8750612633917001</v>
      </c>
      <c r="Q468">
        <f t="shared" si="116"/>
        <v>3.255272505103306</v>
      </c>
      <c r="R468">
        <f t="shared" si="116"/>
        <v>3.5563025007672873</v>
      </c>
      <c r="S468">
        <f t="shared" si="116"/>
        <v>3.1760912590556813</v>
      </c>
      <c r="T468">
        <f t="shared" si="116"/>
        <v>-0.2239819021458386</v>
      </c>
      <c r="U468">
        <f t="shared" si="116"/>
        <v>-4.7336736356405791E-3</v>
      </c>
      <c r="V468">
        <f t="shared" si="116"/>
        <v>7.337578843433383E-2</v>
      </c>
      <c r="W468">
        <f t="shared" si="116"/>
        <v>0.13117623276837484</v>
      </c>
      <c r="X468">
        <f t="shared" si="116"/>
        <v>0.75477452011435131</v>
      </c>
      <c r="Y468">
        <f t="shared" si="116"/>
        <v>0.52124239342014578</v>
      </c>
      <c r="AC468" s="30" t="s">
        <v>637</v>
      </c>
      <c r="AD468" s="30">
        <f t="shared" si="112"/>
        <v>6</v>
      </c>
      <c r="AE468" s="30">
        <f t="shared" si="108"/>
        <v>12</v>
      </c>
      <c r="AF468" s="30">
        <f t="shared" si="109"/>
        <v>4</v>
      </c>
      <c r="AG468" s="30">
        <f t="shared" ref="AG468" si="117">SUM(AD468:AF468)</f>
        <v>22</v>
      </c>
      <c r="AH468" s="30">
        <v>0.38879000000000002</v>
      </c>
      <c r="AI468" s="30">
        <v>2.92232</v>
      </c>
      <c r="AJ468" s="30">
        <v>4.6159999999999997</v>
      </c>
      <c r="AK468" s="30">
        <v>2.8980199999999998</v>
      </c>
      <c r="AL468" s="30">
        <v>5.95092</v>
      </c>
      <c r="AM468" s="30">
        <v>16.121400000000001</v>
      </c>
      <c r="AN468">
        <f t="shared" si="114"/>
        <v>5.4829083333333335</v>
      </c>
    </row>
    <row r="469" spans="14:40">
      <c r="N469">
        <f t="shared" ref="N469:Y469" si="118">LOG10(N464)</f>
        <v>4.3521825181113627</v>
      </c>
      <c r="O469">
        <f t="shared" si="118"/>
        <v>4.4771212547196626</v>
      </c>
      <c r="P469">
        <f t="shared" si="118"/>
        <v>4.1055101847699742</v>
      </c>
      <c r="Q469">
        <f t="shared" si="118"/>
        <v>4.4771212547196626</v>
      </c>
      <c r="R469">
        <f t="shared" si="118"/>
        <v>4.6020599913279625</v>
      </c>
      <c r="S469">
        <f t="shared" si="118"/>
        <v>4.2304489213782741</v>
      </c>
      <c r="T469">
        <f t="shared" si="118"/>
        <v>-1.0845849937691729</v>
      </c>
      <c r="U469">
        <f t="shared" si="118"/>
        <v>-0.80797910355608815</v>
      </c>
      <c r="V469">
        <f t="shared" si="118"/>
        <v>-0.71941252502123998</v>
      </c>
      <c r="W469">
        <f t="shared" si="118"/>
        <v>7.2877708870299443E-2</v>
      </c>
      <c r="X469">
        <f t="shared" si="118"/>
        <v>0.63012760459707884</v>
      </c>
      <c r="Y469">
        <f t="shared" si="118"/>
        <v>-0.30335053955353303</v>
      </c>
      <c r="AC469" s="120" t="s">
        <v>583</v>
      </c>
      <c r="AD469" s="120">
        <f>AD436</f>
        <v>30</v>
      </c>
      <c r="AE469" s="120">
        <f>AE436</f>
        <v>60</v>
      </c>
      <c r="AF469" s="120">
        <f>AF436</f>
        <v>25</v>
      </c>
      <c r="AG469" s="120">
        <f t="shared" ref="AG469:AG471" si="119">SUM(AD469:AF469)</f>
        <v>115</v>
      </c>
      <c r="AH469" s="120">
        <v>0.596854</v>
      </c>
      <c r="AI469" s="120">
        <v>1.1536200000000001</v>
      </c>
      <c r="AJ469" s="120">
        <v>0.92289600000000005</v>
      </c>
      <c r="AK469" s="120">
        <v>3.4549099999999999</v>
      </c>
      <c r="AL469" s="120">
        <v>10.5829</v>
      </c>
      <c r="AM469" s="120">
        <v>2.8288899999999999</v>
      </c>
      <c r="AN469" s="120">
        <f>AVERAGE(AH469:AM469)</f>
        <v>3.2566783333333333</v>
      </c>
    </row>
    <row r="470" spans="14:40">
      <c r="N470">
        <f t="shared" ref="N470:Y470" si="120">LOG10(N465)</f>
        <v>4.795880017344075</v>
      </c>
      <c r="O470">
        <f t="shared" si="120"/>
        <v>4.8750612633917001</v>
      </c>
      <c r="P470">
        <f t="shared" si="120"/>
        <v>4.3979400086720375</v>
      </c>
      <c r="Q470">
        <f t="shared" si="120"/>
        <v>4.8750612633917001</v>
      </c>
      <c r="R470">
        <f t="shared" si="120"/>
        <v>4.9542425094393252</v>
      </c>
      <c r="S470">
        <f t="shared" si="120"/>
        <v>4.4771212547196626</v>
      </c>
      <c r="T470">
        <f t="shared" si="120"/>
        <v>-1.3888129837809784</v>
      </c>
      <c r="U470">
        <f t="shared" si="120"/>
        <v>-1.0690812635838867</v>
      </c>
      <c r="V470">
        <f t="shared" si="120"/>
        <v>-0.88122024750036865</v>
      </c>
      <c r="W470">
        <f t="shared" si="120"/>
        <v>-0.5355062050258067</v>
      </c>
      <c r="X470">
        <f t="shared" si="120"/>
        <v>-2.1141513019966206E-2</v>
      </c>
      <c r="Y470">
        <f t="shared" si="120"/>
        <v>0.57886432012778599</v>
      </c>
      <c r="AC470" t="s">
        <v>613</v>
      </c>
      <c r="AD470">
        <f>AD469</f>
        <v>30</v>
      </c>
      <c r="AE470">
        <f t="shared" ref="AE470:AF470" si="121">AE469</f>
        <v>60</v>
      </c>
      <c r="AF470">
        <f t="shared" si="121"/>
        <v>25</v>
      </c>
      <c r="AG470">
        <f t="shared" si="119"/>
        <v>115</v>
      </c>
      <c r="AH470">
        <v>0.97393399999999997</v>
      </c>
      <c r="AI470">
        <v>0.84270900000000004</v>
      </c>
      <c r="AJ470">
        <v>0.227656</v>
      </c>
      <c r="AK470">
        <v>1.03538</v>
      </c>
      <c r="AL470">
        <v>5.1952499999999997</v>
      </c>
      <c r="AM470">
        <v>0.48194500000000001</v>
      </c>
      <c r="AN470">
        <f t="shared" ref="AN470:AN474" si="122">AVERAGE(AH470:AM470)</f>
        <v>1.459479</v>
      </c>
    </row>
    <row r="471" spans="14:40">
      <c r="AC471" t="s">
        <v>621</v>
      </c>
      <c r="AD471">
        <f>AD470</f>
        <v>30</v>
      </c>
      <c r="AE471">
        <f t="shared" ref="AE471:AE474" si="123">AE470</f>
        <v>60</v>
      </c>
      <c r="AF471">
        <f t="shared" ref="AF471:AF474" si="124">AF470</f>
        <v>25</v>
      </c>
      <c r="AG471">
        <f t="shared" si="119"/>
        <v>115</v>
      </c>
      <c r="AH471">
        <v>0.28629300000000002</v>
      </c>
      <c r="AI471">
        <v>0.45120500000000002</v>
      </c>
      <c r="AJ471">
        <v>0.69454800000000005</v>
      </c>
      <c r="AK471">
        <v>0.84182699999999999</v>
      </c>
      <c r="AL471">
        <v>5.7075800000000001</v>
      </c>
      <c r="AM471">
        <v>1.7236100000000001</v>
      </c>
      <c r="AN471">
        <f t="shared" si="122"/>
        <v>1.6175105000000001</v>
      </c>
    </row>
    <row r="472" spans="14:40">
      <c r="AC472" t="s">
        <v>622</v>
      </c>
      <c r="AD472">
        <f>AD471</f>
        <v>30</v>
      </c>
      <c r="AE472">
        <f t="shared" si="123"/>
        <v>60</v>
      </c>
      <c r="AF472">
        <f t="shared" si="124"/>
        <v>25</v>
      </c>
      <c r="AG472">
        <f t="shared" ref="AG472" si="125">SUM(AD472:AF472)</f>
        <v>115</v>
      </c>
      <c r="AH472">
        <v>0.36069800000000002</v>
      </c>
      <c r="AI472">
        <v>1.42933</v>
      </c>
      <c r="AJ472">
        <v>2.06264</v>
      </c>
      <c r="AK472">
        <v>1.89042</v>
      </c>
      <c r="AL472">
        <v>3.4584800000000002</v>
      </c>
      <c r="AM472">
        <v>5.97011</v>
      </c>
      <c r="AN472">
        <f t="shared" si="122"/>
        <v>2.528613</v>
      </c>
    </row>
    <row r="473" spans="14:40">
      <c r="AC473" t="s">
        <v>623</v>
      </c>
      <c r="AD473">
        <f t="shared" ref="AD473:AD474" si="126">AD472</f>
        <v>30</v>
      </c>
      <c r="AE473">
        <f t="shared" si="123"/>
        <v>60</v>
      </c>
      <c r="AF473">
        <f t="shared" si="124"/>
        <v>25</v>
      </c>
      <c r="AG473">
        <f t="shared" ref="AG473:AG474" si="127">SUM(AD473:AF473)</f>
        <v>115</v>
      </c>
      <c r="AH473">
        <v>0.46740599999999999</v>
      </c>
      <c r="AI473">
        <v>0.31150299999999997</v>
      </c>
      <c r="AJ473">
        <v>2.3107600000000001</v>
      </c>
      <c r="AK473">
        <v>0.27848099999999998</v>
      </c>
      <c r="AL473">
        <v>3.5312800000000002</v>
      </c>
      <c r="AM473">
        <v>4.1435700000000004</v>
      </c>
      <c r="AN473">
        <f t="shared" si="122"/>
        <v>1.8405000000000002</v>
      </c>
    </row>
    <row r="474" spans="14:40">
      <c r="AC474" s="30" t="s">
        <v>624</v>
      </c>
      <c r="AD474" s="30">
        <f t="shared" si="126"/>
        <v>30</v>
      </c>
      <c r="AE474" s="30">
        <f t="shared" si="123"/>
        <v>60</v>
      </c>
      <c r="AF474" s="30">
        <f t="shared" si="124"/>
        <v>25</v>
      </c>
      <c r="AG474" s="30">
        <f t="shared" si="127"/>
        <v>115</v>
      </c>
      <c r="AH474" s="30">
        <v>0.89717599999999997</v>
      </c>
      <c r="AI474" s="30">
        <v>1.7465900000000001</v>
      </c>
      <c r="AJ474" s="30">
        <v>0.88589399999999996</v>
      </c>
      <c r="AK474" s="30">
        <v>0.61470999999999998</v>
      </c>
      <c r="AL474" s="30">
        <v>5.6379700000000001</v>
      </c>
      <c r="AM474" s="30">
        <v>4.7766599999999997</v>
      </c>
      <c r="AN474" s="30">
        <f t="shared" si="122"/>
        <v>2.4265000000000003</v>
      </c>
    </row>
    <row r="475" spans="14:40">
      <c r="AC475" t="s">
        <v>616</v>
      </c>
      <c r="AD475">
        <v>60</v>
      </c>
      <c r="AE475">
        <v>100</v>
      </c>
      <c r="AF475">
        <v>45</v>
      </c>
      <c r="AG475">
        <f>SUM(AD475:AF475)</f>
        <v>205</v>
      </c>
      <c r="AH475">
        <v>9.4625600000000004E-2</v>
      </c>
      <c r="AI475">
        <v>0.50957600000000003</v>
      </c>
      <c r="AJ475">
        <v>0.96822799999999998</v>
      </c>
      <c r="AK475">
        <v>0.39995900000000001</v>
      </c>
      <c r="AL475">
        <v>4.8215000000000003</v>
      </c>
      <c r="AM475">
        <v>1.13523</v>
      </c>
      <c r="AN475">
        <f>AVERAGE(AH475:AM475)</f>
        <v>1.3215197666666667</v>
      </c>
    </row>
    <row r="476" spans="14:40">
      <c r="AC476" t="s">
        <v>617</v>
      </c>
      <c r="AD476">
        <v>100</v>
      </c>
      <c r="AE476">
        <v>150</v>
      </c>
      <c r="AF476">
        <v>75</v>
      </c>
      <c r="AG476">
        <f>SUM(AD476:AF476)</f>
        <v>325</v>
      </c>
      <c r="AH476">
        <v>0.11686199999999999</v>
      </c>
      <c r="AI476">
        <v>5.6767900000000003E-2</v>
      </c>
      <c r="AJ476">
        <v>0.50237799999999999</v>
      </c>
      <c r="AK476">
        <v>0.68877999999999995</v>
      </c>
      <c r="AL476">
        <v>1.83501</v>
      </c>
      <c r="AM476">
        <v>5.0699699999999996</v>
      </c>
      <c r="AN476">
        <f>AVERAGE(AH476:AM476)</f>
        <v>1.37829465</v>
      </c>
    </row>
    <row r="477" spans="14:40">
      <c r="AC477" s="120" t="s">
        <v>618</v>
      </c>
      <c r="AD477" s="120">
        <v>150</v>
      </c>
      <c r="AE477" s="120">
        <v>200</v>
      </c>
      <c r="AF477" s="120">
        <v>85</v>
      </c>
      <c r="AG477" s="120">
        <f>SUM(AD477:AF477)</f>
        <v>435</v>
      </c>
      <c r="AH477" s="120">
        <v>1.9085299999999999E-2</v>
      </c>
      <c r="AI477" s="120">
        <v>0.154581</v>
      </c>
      <c r="AJ477" s="120">
        <v>0.19223299999999999</v>
      </c>
      <c r="AK477" s="120">
        <v>0.64046400000000003</v>
      </c>
      <c r="AL477" s="120">
        <v>3.7482899999999999</v>
      </c>
      <c r="AM477" s="120">
        <v>1.04325</v>
      </c>
      <c r="AN477" s="120">
        <f>AVERAGE(AH477:AM477)</f>
        <v>0.96631721666666659</v>
      </c>
    </row>
    <row r="478" spans="14:40">
      <c r="AC478" t="s">
        <v>625</v>
      </c>
      <c r="AD478">
        <f>AD477</f>
        <v>150</v>
      </c>
      <c r="AE478">
        <f t="shared" ref="AE478:AG478" si="128">AE477</f>
        <v>200</v>
      </c>
      <c r="AF478">
        <f t="shared" si="128"/>
        <v>85</v>
      </c>
      <c r="AG478">
        <f t="shared" si="128"/>
        <v>435</v>
      </c>
      <c r="AH478">
        <v>1.37378E-2</v>
      </c>
      <c r="AI478">
        <v>0.107792</v>
      </c>
      <c r="AJ478">
        <v>0.17197299999999999</v>
      </c>
      <c r="AK478">
        <v>5.7724900000000003E-2</v>
      </c>
      <c r="AL478">
        <v>0.453015</v>
      </c>
      <c r="AM478">
        <v>0.14574599999999999</v>
      </c>
      <c r="AN478">
        <f t="shared" ref="AN478:AN480" si="129">AVERAGE(AH478:AM478)</f>
        <v>0.15833145000000001</v>
      </c>
    </row>
    <row r="479" spans="14:40">
      <c r="AC479" t="s">
        <v>626</v>
      </c>
      <c r="AD479">
        <f>AD478</f>
        <v>150</v>
      </c>
      <c r="AE479">
        <f t="shared" ref="AE479:AE480" si="130">AE478</f>
        <v>200</v>
      </c>
      <c r="AF479">
        <f t="shared" ref="AF479:AF480" si="131">AF478</f>
        <v>85</v>
      </c>
      <c r="AG479">
        <f t="shared" ref="AG479:AG480" si="132">AG478</f>
        <v>435</v>
      </c>
      <c r="AH479">
        <v>0.207231</v>
      </c>
      <c r="AI479">
        <v>0.28816599999999998</v>
      </c>
      <c r="AJ479">
        <v>0.291379</v>
      </c>
      <c r="AK479">
        <v>3.3910999999999998</v>
      </c>
      <c r="AL479">
        <v>9.8894199999999994</v>
      </c>
      <c r="AM479">
        <v>0.73022299999999996</v>
      </c>
      <c r="AN479">
        <f t="shared" si="129"/>
        <v>2.4662531666666667</v>
      </c>
    </row>
    <row r="480" spans="14:40">
      <c r="AC480" s="30" t="s">
        <v>633</v>
      </c>
      <c r="AD480" s="30">
        <f>AD479</f>
        <v>150</v>
      </c>
      <c r="AE480" s="30">
        <f t="shared" si="130"/>
        <v>200</v>
      </c>
      <c r="AF480" s="30">
        <f t="shared" si="131"/>
        <v>85</v>
      </c>
      <c r="AG480" s="30">
        <f t="shared" si="132"/>
        <v>435</v>
      </c>
      <c r="AH480" s="30">
        <v>8.9157399999999998E-2</v>
      </c>
      <c r="AI480" s="30">
        <v>7.1877200000000002E-2</v>
      </c>
      <c r="AJ480" s="30">
        <v>0.107631</v>
      </c>
      <c r="AK480" s="30">
        <v>0.64154500000000003</v>
      </c>
      <c r="AL480" s="30">
        <v>2.9774699999999998</v>
      </c>
      <c r="AM480" s="30">
        <v>7.0123000000000005E-2</v>
      </c>
      <c r="AN480" s="30">
        <f t="shared" si="129"/>
        <v>0.65963393333333331</v>
      </c>
    </row>
    <row r="481" spans="29:40">
      <c r="AC481" s="120" t="s">
        <v>619</v>
      </c>
      <c r="AD481" s="120">
        <v>250</v>
      </c>
      <c r="AE481" s="120">
        <v>300</v>
      </c>
      <c r="AF481" s="120">
        <v>100</v>
      </c>
      <c r="AG481" s="120">
        <f>SUM(AD481:AF481)</f>
        <v>650</v>
      </c>
      <c r="AH481" s="120">
        <v>8.7726899999999997E-3</v>
      </c>
      <c r="AI481" s="120">
        <v>0.113248</v>
      </c>
      <c r="AJ481" s="120">
        <v>1.81342E-2</v>
      </c>
      <c r="AK481" s="120">
        <v>0.52306900000000001</v>
      </c>
      <c r="AL481" s="120">
        <v>1.99631</v>
      </c>
      <c r="AM481" s="120">
        <v>0.48635</v>
      </c>
      <c r="AN481" s="120">
        <f>AVERAGE(AH481:AM481)</f>
        <v>0.52431398166666665</v>
      </c>
    </row>
    <row r="482" spans="29:40">
      <c r="AC482" t="s">
        <v>627</v>
      </c>
      <c r="AD482">
        <f>AD481</f>
        <v>250</v>
      </c>
      <c r="AE482">
        <f t="shared" ref="AE482:AG482" si="133">AE481</f>
        <v>300</v>
      </c>
      <c r="AF482">
        <f t="shared" si="133"/>
        <v>100</v>
      </c>
      <c r="AG482">
        <f t="shared" si="133"/>
        <v>650</v>
      </c>
      <c r="AH482">
        <v>0.111209</v>
      </c>
      <c r="AI482">
        <v>2.4272200000000001E-2</v>
      </c>
      <c r="AJ482">
        <v>0.16445100000000001</v>
      </c>
      <c r="AK482">
        <v>4.8037400000000001E-2</v>
      </c>
      <c r="AL482">
        <v>0.29813400000000001</v>
      </c>
      <c r="AM482">
        <v>4.1128299999999998</v>
      </c>
      <c r="AN482">
        <f>AVERAGE(AH482:AM482)</f>
        <v>0.79315559999999996</v>
      </c>
    </row>
    <row r="483" spans="29:40">
      <c r="AC483" t="s">
        <v>628</v>
      </c>
      <c r="AD483">
        <f>AD482</f>
        <v>250</v>
      </c>
      <c r="AE483">
        <f t="shared" ref="AE483" si="134">AE482</f>
        <v>300</v>
      </c>
      <c r="AF483">
        <f t="shared" ref="AF483" si="135">AF482</f>
        <v>100</v>
      </c>
      <c r="AG483">
        <f t="shared" ref="AG483" si="136">AG482</f>
        <v>650</v>
      </c>
      <c r="AH483">
        <v>4.3130000000000002E-2</v>
      </c>
      <c r="AI483">
        <v>0.116382</v>
      </c>
      <c r="AJ483">
        <v>0.16089500000000001</v>
      </c>
      <c r="AK483">
        <v>0.48497899999999999</v>
      </c>
      <c r="AL483">
        <v>0.97204400000000002</v>
      </c>
      <c r="AM483">
        <v>5.3803700000000001</v>
      </c>
      <c r="AN483">
        <f>AVERAGE(AH483:AM483)</f>
        <v>1.1929666666666667</v>
      </c>
    </row>
    <row r="484" spans="29:40">
      <c r="AC484" s="30" t="s">
        <v>632</v>
      </c>
      <c r="AD484" s="30">
        <f>AD483</f>
        <v>250</v>
      </c>
      <c r="AE484" s="30">
        <f t="shared" ref="AE484" si="137">AE483</f>
        <v>300</v>
      </c>
      <c r="AF484" s="30">
        <f t="shared" ref="AF484" si="138">AF483</f>
        <v>100</v>
      </c>
      <c r="AG484" s="30">
        <f t="shared" ref="AG484" si="139">AG483</f>
        <v>650</v>
      </c>
      <c r="AH484" s="30">
        <v>2.8641199999999999E-4</v>
      </c>
      <c r="AI484" s="30">
        <v>8.7274000000000004E-2</v>
      </c>
      <c r="AJ484" s="30">
        <v>0.18234300000000001</v>
      </c>
      <c r="AK484" s="30">
        <v>0.109526</v>
      </c>
      <c r="AL484" s="30">
        <v>0.54345500000000002</v>
      </c>
      <c r="AM484" s="30">
        <v>5.1883100000000004</v>
      </c>
      <c r="AN484" s="30">
        <f>AVERAGE(AH484:AM484)</f>
        <v>1.0185324020000002</v>
      </c>
    </row>
    <row r="485" spans="29:40">
      <c r="AC485" t="s">
        <v>614</v>
      </c>
      <c r="AD485">
        <v>500</v>
      </c>
      <c r="AE485">
        <v>100</v>
      </c>
      <c r="AF485">
        <v>35</v>
      </c>
      <c r="AG485">
        <f>SUM(AD485:AF485)</f>
        <v>635</v>
      </c>
      <c r="AH485">
        <v>0.10280300000000001</v>
      </c>
      <c r="AI485">
        <v>0.14580599999999999</v>
      </c>
      <c r="AJ485">
        <v>0.111668</v>
      </c>
      <c r="AK485">
        <v>9.59893E-2</v>
      </c>
      <c r="AL485">
        <v>4.62846E-3</v>
      </c>
      <c r="AM485">
        <v>4.0099400000000003</v>
      </c>
      <c r="AN485">
        <f t="shared" ref="AN485:AN488" si="140">AVERAGE(AH485:AM485)</f>
        <v>0.74513912666666682</v>
      </c>
    </row>
    <row r="486" spans="29:40">
      <c r="AG486">
        <f>SUM(AD486:AF486)</f>
        <v>0</v>
      </c>
      <c r="AN486" t="e">
        <f t="shared" si="140"/>
        <v>#DIV/0!</v>
      </c>
    </row>
    <row r="487" spans="29:40">
      <c r="AG487">
        <f>SUM(AD487:AF487)</f>
        <v>0</v>
      </c>
      <c r="AN487" t="e">
        <f t="shared" si="140"/>
        <v>#DIV/0!</v>
      </c>
    </row>
    <row r="488" spans="29:40">
      <c r="AG488">
        <f>SUM(AD488:AF488)</f>
        <v>0</v>
      </c>
      <c r="AN488" t="e">
        <f t="shared" si="140"/>
        <v>#DIV/0!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activeCell="F15" sqref="F15"/>
    </sheetView>
  </sheetViews>
  <sheetFormatPr defaultRowHeight="15"/>
  <cols>
    <col min="1" max="1" width="6.42578125" customWidth="1"/>
    <col min="2" max="2" width="32.7109375" customWidth="1"/>
    <col min="3" max="3" width="34.28515625" customWidth="1"/>
  </cols>
  <sheetData>
    <row r="1" spans="1:3" ht="15.75" thickTop="1">
      <c r="A1" s="362" t="s">
        <v>629</v>
      </c>
      <c r="B1" s="363"/>
      <c r="C1" s="364"/>
    </row>
    <row r="2" spans="1:3" ht="15.75" thickBot="1">
      <c r="A2" s="77"/>
      <c r="B2" s="7" t="s">
        <v>0</v>
      </c>
      <c r="C2" s="9" t="s">
        <v>1</v>
      </c>
    </row>
    <row r="3" spans="1:3" ht="28.5" customHeight="1" thickTop="1">
      <c r="A3" s="77" t="s">
        <v>3</v>
      </c>
      <c r="B3" s="329"/>
      <c r="C3" s="237"/>
    </row>
    <row r="4" spans="1:3" ht="28.5" customHeight="1">
      <c r="A4" s="77" t="s">
        <v>4</v>
      </c>
      <c r="B4" s="328"/>
      <c r="C4" s="6"/>
    </row>
    <row r="5" spans="1:3" ht="30.75" customHeight="1" thickBot="1">
      <c r="A5" s="78" t="s">
        <v>5</v>
      </c>
      <c r="B5" s="69"/>
      <c r="C5" s="9"/>
    </row>
    <row r="6" spans="1:3" ht="15.75" thickTop="1"/>
  </sheetData>
  <mergeCells count="1">
    <mergeCell ref="A1:C1"/>
  </mergeCells>
  <pageMargins left="0.7" right="0.7" top="0.75" bottom="0.75" header="0.3" footer="0.3"/>
  <pageSetup paperSize="9" orientation="portrait" verticalDpi="0" r:id="rId1"/>
  <legacyDrawing r:id="rId2"/>
  <oleObjects>
    <oleObject progId="Equation.DSMT4" shapeId="5121" r:id="rId3"/>
    <oleObject progId="Equation.DSMT4" shapeId="5122" r:id="rId4"/>
    <oleObject progId="Equation.DSMT4" shapeId="5123" r:id="rId5"/>
    <oleObject progId="Equation.DSMT4" shapeId="5124" r:id="rId6"/>
    <oleObject progId="Equation.DSMT4" shapeId="5125" r:id="rId7"/>
    <oleObject progId="Equation.DSMT4" shapeId="5126" r:id="rId8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AboutProgram</vt:lpstr>
      <vt:lpstr>Model-2</vt:lpstr>
      <vt:lpstr>InverseTransform</vt:lpstr>
      <vt:lpstr>LeontMatrix</vt:lpstr>
      <vt:lpstr>QwaziSolution</vt:lpstr>
      <vt:lpstr>MatrixExampleExcel</vt:lpstr>
      <vt:lpstr>Test</vt:lpstr>
      <vt:lpstr>MatrixExamplesMathematica</vt:lpstr>
      <vt:lpstr>Statistics</vt:lpstr>
      <vt:lpstr>MatrixAverageValues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Grisha</dc:creator>
  <cp:lastModifiedBy>Grisha</cp:lastModifiedBy>
  <dcterms:created xsi:type="dcterms:W3CDTF">2014-09-22T04:50:15Z</dcterms:created>
  <dcterms:modified xsi:type="dcterms:W3CDTF">2015-03-09T13:13:28Z</dcterms:modified>
</cp:coreProperties>
</file>