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7440" windowHeight="4890" activeTab="1"/>
  </bookViews>
  <sheets>
    <sheet name="Граф-1" sheetId="1" r:id="rId1"/>
    <sheet name="Граф-2" sheetId="5" r:id="rId2"/>
    <sheet name="Общий случай" sheetId="2" r:id="rId3"/>
    <sheet name="Случай-1" sheetId="7" r:id="rId4"/>
    <sheet name="Случай-2" sheetId="6" r:id="rId5"/>
    <sheet name="Лист3" sheetId="3" r:id="rId6"/>
  </sheets>
  <calcPr calcId="125725"/>
</workbook>
</file>

<file path=xl/calcChain.xml><?xml version="1.0" encoding="utf-8"?>
<calcChain xmlns="http://schemas.openxmlformats.org/spreadsheetml/2006/main">
  <c r="B8" i="7"/>
  <c r="B9"/>
  <c r="L61"/>
  <c r="L40"/>
  <c r="B8" i="6"/>
  <c r="B9"/>
  <c r="L61"/>
  <c r="L60"/>
  <c r="L59"/>
  <c r="L40"/>
  <c r="L39"/>
  <c r="L31"/>
  <c r="L30"/>
  <c r="L52" s="1"/>
  <c r="L29"/>
  <c r="L56" s="1"/>
  <c r="L28"/>
  <c r="L57" s="1"/>
  <c r="L58" s="1"/>
  <c r="L26"/>
  <c r="L25"/>
  <c r="L24"/>
  <c r="L23"/>
  <c r="L22"/>
  <c r="L21"/>
  <c r="B13"/>
  <c r="F10"/>
  <c r="L66" i="2"/>
  <c r="L65"/>
  <c r="L64"/>
  <c r="L63"/>
  <c r="L62"/>
  <c r="L61"/>
  <c r="L60"/>
  <c r="L59"/>
  <c r="L58"/>
  <c r="L57"/>
  <c r="M55"/>
  <c r="L55"/>
  <c r="L56"/>
  <c r="L54"/>
  <c r="L53"/>
  <c r="L52"/>
  <c r="L51"/>
  <c r="L50"/>
  <c r="L49"/>
  <c r="L43"/>
  <c r="M43"/>
  <c r="L48"/>
  <c r="L30"/>
  <c r="L47" s="1"/>
  <c r="L46"/>
  <c r="L45"/>
  <c r="N44"/>
  <c r="M44"/>
  <c r="L44"/>
  <c r="L41"/>
  <c r="L42" s="1"/>
  <c r="L29"/>
  <c r="L40"/>
  <c r="L39"/>
  <c r="L38"/>
  <c r="L36"/>
  <c r="L37" s="1"/>
  <c r="L35"/>
  <c r="L34"/>
  <c r="L33"/>
  <c r="L32"/>
  <c r="L31"/>
  <c r="L28"/>
  <c r="L26"/>
  <c r="L25"/>
  <c r="L24"/>
  <c r="L23"/>
  <c r="L22"/>
  <c r="L21"/>
  <c r="H24"/>
  <c r="H25"/>
  <c r="H23"/>
  <c r="G24"/>
  <c r="G25"/>
  <c r="G23"/>
  <c r="D26"/>
  <c r="E26"/>
  <c r="C26"/>
  <c r="B26"/>
  <c r="E24"/>
  <c r="E25"/>
  <c r="E23"/>
  <c r="F24"/>
  <c r="F25"/>
  <c r="F23"/>
  <c r="D24"/>
  <c r="D25"/>
  <c r="D23"/>
  <c r="C25"/>
  <c r="C24"/>
  <c r="C23"/>
  <c r="B25"/>
  <c r="B24"/>
  <c r="F9"/>
  <c r="F11"/>
  <c r="B23"/>
  <c r="F10"/>
  <c r="H18"/>
  <c r="H19"/>
  <c r="H17"/>
  <c r="E18"/>
  <c r="E19"/>
  <c r="E17"/>
  <c r="B19"/>
  <c r="B18"/>
  <c r="B17"/>
  <c r="D13"/>
  <c r="B15"/>
  <c r="B14"/>
  <c r="B13"/>
  <c r="G3" i="5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"/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"/>
  <c r="B3" i="5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C2"/>
  <c r="B2"/>
  <c r="A3"/>
  <c r="A4" s="1"/>
  <c r="B3" i="1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C2"/>
  <c r="B2"/>
  <c r="A25"/>
  <c r="A22"/>
  <c r="A23"/>
  <c r="A24"/>
  <c r="A18"/>
  <c r="A19"/>
  <c r="A20"/>
  <c r="A21"/>
  <c r="A13"/>
  <c r="A14"/>
  <c r="A15"/>
  <c r="A16"/>
  <c r="A17"/>
  <c r="A4"/>
  <c r="A5"/>
  <c r="A6"/>
  <c r="A7"/>
  <c r="A8"/>
  <c r="A9"/>
  <c r="A10"/>
  <c r="A11"/>
  <c r="A12"/>
  <c r="A3"/>
  <c r="L53" i="7" l="1"/>
  <c r="L30"/>
  <c r="F10"/>
  <c r="B13"/>
  <c r="L21"/>
  <c r="L22"/>
  <c r="L23"/>
  <c r="L24"/>
  <c r="L25"/>
  <c r="L26"/>
  <c r="L28"/>
  <c r="L29"/>
  <c r="L31"/>
  <c r="L39"/>
  <c r="M55"/>
  <c r="L59"/>
  <c r="L60"/>
  <c r="B25" i="6"/>
  <c r="L54"/>
  <c r="F11"/>
  <c r="F9" s="1"/>
  <c r="B14"/>
  <c r="B15"/>
  <c r="B17"/>
  <c r="E17"/>
  <c r="H17" s="1"/>
  <c r="B18"/>
  <c r="B19"/>
  <c r="B23"/>
  <c r="F23"/>
  <c r="B24"/>
  <c r="L34"/>
  <c r="L35"/>
  <c r="L36"/>
  <c r="L37" s="1"/>
  <c r="L41"/>
  <c r="L42" s="1"/>
  <c r="L43"/>
  <c r="M43"/>
  <c r="N44"/>
  <c r="L47"/>
  <c r="L53"/>
  <c r="L55"/>
  <c r="M55"/>
  <c r="A5" i="5"/>
  <c r="N44" i="7" l="1"/>
  <c r="M43"/>
  <c r="L36"/>
  <c r="L37" s="1"/>
  <c r="L35"/>
  <c r="L34"/>
  <c r="L56"/>
  <c r="L41"/>
  <c r="L42" s="1"/>
  <c r="L57"/>
  <c r="L58" s="1"/>
  <c r="L55"/>
  <c r="B25"/>
  <c r="F23"/>
  <c r="B23"/>
  <c r="B15"/>
  <c r="B14"/>
  <c r="C25"/>
  <c r="F11"/>
  <c r="F9" s="1"/>
  <c r="C24" s="1"/>
  <c r="L52"/>
  <c r="L47"/>
  <c r="L43"/>
  <c r="L54"/>
  <c r="L51" i="6"/>
  <c r="L49"/>
  <c r="L50" s="1"/>
  <c r="B26"/>
  <c r="F25"/>
  <c r="E19"/>
  <c r="H19" s="1"/>
  <c r="L44"/>
  <c r="L32"/>
  <c r="F24"/>
  <c r="C23"/>
  <c r="E18"/>
  <c r="H18" s="1"/>
  <c r="D13"/>
  <c r="C24"/>
  <c r="D24" s="1"/>
  <c r="C25"/>
  <c r="D25" s="1"/>
  <c r="A6" i="5"/>
  <c r="L51" i="7" l="1"/>
  <c r="L49"/>
  <c r="L50" s="1"/>
  <c r="L44"/>
  <c r="F24"/>
  <c r="D13"/>
  <c r="C23"/>
  <c r="C26" s="1"/>
  <c r="L32"/>
  <c r="F25"/>
  <c r="D23"/>
  <c r="B17"/>
  <c r="E17" s="1"/>
  <c r="H17" s="1"/>
  <c r="B18"/>
  <c r="E18" s="1"/>
  <c r="H18" s="1"/>
  <c r="B19"/>
  <c r="E19" s="1"/>
  <c r="H19" s="1"/>
  <c r="E23"/>
  <c r="B24"/>
  <c r="D24" s="1"/>
  <c r="D25"/>
  <c r="L66" i="6"/>
  <c r="L65"/>
  <c r="L64"/>
  <c r="L48"/>
  <c r="L38"/>
  <c r="L33"/>
  <c r="L63"/>
  <c r="L62"/>
  <c r="L46"/>
  <c r="L45"/>
  <c r="M44"/>
  <c r="C26"/>
  <c r="E24"/>
  <c r="E25"/>
  <c r="D23"/>
  <c r="A7" i="5"/>
  <c r="H23" i="7" l="1"/>
  <c r="G23"/>
  <c r="L63"/>
  <c r="L62"/>
  <c r="L46"/>
  <c r="L45"/>
  <c r="M44"/>
  <c r="L66"/>
  <c r="L65"/>
  <c r="L64"/>
  <c r="L48"/>
  <c r="L38"/>
  <c r="L33"/>
  <c r="D26"/>
  <c r="B26"/>
  <c r="E25"/>
  <c r="E24"/>
  <c r="D26" i="6"/>
  <c r="E23"/>
  <c r="H25"/>
  <c r="G25"/>
  <c r="H24"/>
  <c r="G24"/>
  <c r="A8" i="5"/>
  <c r="H24" i="7" l="1"/>
  <c r="G24"/>
  <c r="H25"/>
  <c r="G25"/>
  <c r="E26"/>
  <c r="E26" i="6"/>
  <c r="H23"/>
  <c r="G23"/>
  <c r="A9" i="5"/>
  <c r="A10" l="1"/>
  <c r="A11" l="1"/>
  <c r="A12" l="1"/>
  <c r="A13" l="1"/>
  <c r="A14" l="1"/>
  <c r="A15" l="1"/>
  <c r="A16" l="1"/>
  <c r="A17" l="1"/>
  <c r="A18" l="1"/>
  <c r="A19" l="1"/>
  <c r="A20" l="1"/>
  <c r="A21" l="1"/>
  <c r="A22" l="1"/>
  <c r="A23" l="1"/>
  <c r="A24" l="1"/>
  <c r="A25" l="1"/>
</calcChain>
</file>

<file path=xl/sharedStrings.xml><?xml version="1.0" encoding="utf-8"?>
<sst xmlns="http://schemas.openxmlformats.org/spreadsheetml/2006/main" count="475" uniqueCount="132">
  <si>
    <t>x</t>
  </si>
  <si>
    <t>Fmin</t>
  </si>
  <si>
    <t>Fmax</t>
  </si>
  <si>
    <t>y</t>
  </si>
  <si>
    <t>a1</t>
  </si>
  <si>
    <t>П2</t>
  </si>
  <si>
    <t>a2</t>
  </si>
  <si>
    <t>a3</t>
  </si>
  <si>
    <t>l1</t>
  </si>
  <si>
    <t>l2</t>
  </si>
  <si>
    <t>l3</t>
  </si>
  <si>
    <t>m</t>
  </si>
  <si>
    <t>w</t>
  </si>
  <si>
    <t>X1</t>
  </si>
  <si>
    <t>X2</t>
  </si>
  <si>
    <t>X3</t>
  </si>
  <si>
    <t>И1</t>
  </si>
  <si>
    <t>И2</t>
  </si>
  <si>
    <t>И3</t>
  </si>
  <si>
    <t>L1 = Ц1</t>
  </si>
  <si>
    <t>L2 = Ц2</t>
  </si>
  <si>
    <t>L3 = Ц3</t>
  </si>
  <si>
    <t>П1</t>
  </si>
  <si>
    <t>П3</t>
  </si>
  <si>
    <t>Р1</t>
  </si>
  <si>
    <t>Р2</t>
  </si>
  <si>
    <t>Р3</t>
  </si>
  <si>
    <t>I</t>
  </si>
  <si>
    <t>II</t>
  </si>
  <si>
    <t>III</t>
  </si>
  <si>
    <t>C</t>
  </si>
  <si>
    <t>V</t>
  </si>
  <si>
    <t>И</t>
  </si>
  <si>
    <t>П</t>
  </si>
  <si>
    <t>Ц</t>
  </si>
  <si>
    <t>Р</t>
  </si>
  <si>
    <t>(21)</t>
  </si>
  <si>
    <t>(22)</t>
  </si>
  <si>
    <t>(24)</t>
  </si>
  <si>
    <t>(25)</t>
  </si>
  <si>
    <t>(27)</t>
  </si>
  <si>
    <t>(28)</t>
  </si>
  <si>
    <t>l1*</t>
  </si>
  <si>
    <t>(30)</t>
  </si>
  <si>
    <t>l2*</t>
  </si>
  <si>
    <t>(32)</t>
  </si>
  <si>
    <t>(37)</t>
  </si>
  <si>
    <t>(39)</t>
  </si>
  <si>
    <t>ymin</t>
  </si>
  <si>
    <t>ymax</t>
  </si>
  <si>
    <t>(41)</t>
  </si>
  <si>
    <t>M(X)</t>
  </si>
  <si>
    <t>m(X)</t>
  </si>
  <si>
    <t>(42)</t>
  </si>
  <si>
    <t>(50)</t>
  </si>
  <si>
    <t>П2max</t>
  </si>
  <si>
    <t>(55)</t>
  </si>
  <si>
    <t>w0</t>
  </si>
  <si>
    <t>(56)</t>
  </si>
  <si>
    <t>(57)</t>
  </si>
  <si>
    <t>L2*</t>
  </si>
  <si>
    <t>w(L2*+l2*)</t>
  </si>
  <si>
    <t>(59)</t>
  </si>
  <si>
    <t>w*L2</t>
  </si>
  <si>
    <t>(60)</t>
  </si>
  <si>
    <t>П2(x;y)</t>
  </si>
  <si>
    <t>(61)</t>
  </si>
  <si>
    <t>(62)</t>
  </si>
  <si>
    <t>П2max(x*)</t>
  </si>
  <si>
    <t>x*</t>
  </si>
  <si>
    <t>П2(y;m)</t>
  </si>
  <si>
    <t>(63)</t>
  </si>
  <si>
    <t>(64)</t>
  </si>
  <si>
    <t>y*</t>
  </si>
  <si>
    <t>(58)</t>
  </si>
  <si>
    <t>m*</t>
  </si>
  <si>
    <t>П2max(m*)</t>
  </si>
  <si>
    <t>(65)</t>
  </si>
  <si>
    <t>(68)</t>
  </si>
  <si>
    <t>П2max(y*)</t>
  </si>
  <si>
    <t>(69)</t>
  </si>
  <si>
    <t>(70)</t>
  </si>
  <si>
    <t>П2max(l1;l2*)</t>
  </si>
  <si>
    <t>П1max(l1*;l2)</t>
  </si>
  <si>
    <t>(72)</t>
  </si>
  <si>
    <t>(73)</t>
  </si>
  <si>
    <t>стр.19</t>
  </si>
  <si>
    <t>w0*</t>
  </si>
  <si>
    <t>(78)</t>
  </si>
  <si>
    <t>P1</t>
  </si>
  <si>
    <t>P2</t>
  </si>
  <si>
    <t>P3</t>
  </si>
  <si>
    <t>(79)</t>
  </si>
  <si>
    <t>(80)</t>
  </si>
  <si>
    <t>(81)</t>
  </si>
  <si>
    <t>wl1</t>
  </si>
  <si>
    <t>(82)</t>
  </si>
  <si>
    <t>(83)</t>
  </si>
  <si>
    <t>(84)</t>
  </si>
  <si>
    <t>P1(m)</t>
  </si>
  <si>
    <t>P2(m;y)</t>
  </si>
  <si>
    <t>(85)</t>
  </si>
  <si>
    <t>P3(m;y)</t>
  </si>
  <si>
    <t>Масштаб цен выбран так, чтобы цены численно совпадали с трудовыми стоимостями товаров.</t>
  </si>
  <si>
    <t>l1;l2;l3</t>
  </si>
  <si>
    <t>прямые затраты живого труда на производство единицы продукции</t>
  </si>
  <si>
    <t>a1;a2;a3</t>
  </si>
  <si>
    <t>число единиц средств производства, необходимое для производства единицы продукции</t>
  </si>
  <si>
    <t>X1;X2;X3</t>
  </si>
  <si>
    <t>выпуск в единицах продукции в разных подразделениях</t>
  </si>
  <si>
    <t>количество единиц предметов потребления, получаемых рабочими в качестве оплаты единичного труда</t>
  </si>
  <si>
    <t>X31 = X3:X1</t>
  </si>
  <si>
    <t>L1;L2;L3</t>
  </si>
  <si>
    <t>стоимости единиц продукции</t>
  </si>
  <si>
    <t>Ц1;Ц2;Ц3</t>
  </si>
  <si>
    <t>цены единиц продукции</t>
  </si>
  <si>
    <t>И1;И2;И3</t>
  </si>
  <si>
    <t>издержки производства единиц продукции</t>
  </si>
  <si>
    <t>П1;П2;П3</t>
  </si>
  <si>
    <t>прибыли в единице продукции</t>
  </si>
  <si>
    <t>Структура стоимости выпущенной продукции.</t>
  </si>
  <si>
    <t>Баланс простого воспроизводства выполняется.</t>
  </si>
  <si>
    <t>Одинаковым цветом отмечены равные величины.</t>
  </si>
  <si>
    <t>(величины в скобках задаются произвольно)</t>
  </si>
  <si>
    <t>норма прибавочной стоимости</t>
  </si>
  <si>
    <t xml:space="preserve">ПРИЛОЖЕНИЕ К СТАТЬЕ. </t>
  </si>
  <si>
    <t>Пушной Г. С. (2016) "Издержки, прибыль, рентабельность и цена в модели простого воспроизводства с тремя подразделениями и обменом по трудовой стоимости.</t>
  </si>
  <si>
    <t>Обозначения:</t>
  </si>
  <si>
    <t>Проверка формул статьи.</t>
  </si>
  <si>
    <t>Экономика находится в точке пересечения траекторий максимальной прибыли первого и второго подразделений: l1 = l1*; l2 = l2*</t>
  </si>
  <si>
    <t>Рентабельности первого и второго подразделений одинаковы.</t>
  </si>
  <si>
    <t>Рентабельности первого и второго подразделений отличаются. Но рентабельность второго подразделения составляет 20%.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</si>
</sst>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5" xfId="0" applyFont="1" applyBorder="1"/>
    <xf numFmtId="0" fontId="2" fillId="0" borderId="8" xfId="0" applyFont="1" applyBorder="1"/>
    <xf numFmtId="0" fontId="3" fillId="0" borderId="5" xfId="0" applyFont="1" applyBorder="1"/>
    <xf numFmtId="0" fontId="3" fillId="0" borderId="8" xfId="0" applyFont="1" applyBorder="1"/>
    <xf numFmtId="0" fontId="4" fillId="0" borderId="5" xfId="0" applyFont="1" applyBorder="1"/>
    <xf numFmtId="0" fontId="4" fillId="0" borderId="8" xfId="0" applyFont="1" applyBorder="1"/>
    <xf numFmtId="0" fontId="3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7" fillId="0" borderId="11" xfId="0" applyFont="1" applyBorder="1"/>
    <xf numFmtId="0" fontId="7" fillId="0" borderId="0" xfId="0" applyFont="1" applyBorder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Функции</a:t>
            </a:r>
            <a:r>
              <a:rPr lang="ru-RU" sz="1400" baseline="0"/>
              <a:t> </a:t>
            </a:r>
            <a:r>
              <a:rPr lang="en-US" sz="1400" baseline="0"/>
              <a:t>m(x) </a:t>
            </a:r>
            <a:r>
              <a:rPr lang="ru-RU" sz="1400" baseline="0"/>
              <a:t>и </a:t>
            </a:r>
            <a:r>
              <a:rPr lang="en-US" sz="1400" baseline="0"/>
              <a:t>M(x)</a:t>
            </a:r>
            <a:endParaRPr lang="ru-RU" sz="1400"/>
          </a:p>
        </c:rich>
      </c:tx>
    </c:title>
    <c:plotArea>
      <c:layout>
        <c:manualLayout>
          <c:layoutTarget val="inner"/>
          <c:xMode val="edge"/>
          <c:yMode val="edge"/>
          <c:x val="6.2071741032370953E-2"/>
          <c:y val="0.17218759113444151"/>
          <c:w val="0.85901159230096269"/>
          <c:h val="0.61683617672790858"/>
        </c:manualLayout>
      </c:layout>
      <c:scatterChart>
        <c:scatterStyle val="lineMarker"/>
        <c:ser>
          <c:idx val="0"/>
          <c:order val="0"/>
          <c:tx>
            <c:v>m(x)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'Граф-1'!$A$2:$A$25</c:f>
              <c:numCache>
                <c:formatCode>General</c:formatCode>
                <c:ptCount val="24"/>
                <c:pt idx="0">
                  <c:v>0.25</c:v>
                </c:pt>
                <c:pt idx="1">
                  <c:v>0.24</c:v>
                </c:pt>
                <c:pt idx="2">
                  <c:v>0.22999999999999998</c:v>
                </c:pt>
                <c:pt idx="3">
                  <c:v>0.21999999999999997</c:v>
                </c:pt>
                <c:pt idx="4">
                  <c:v>0.20999999999999996</c:v>
                </c:pt>
                <c:pt idx="5">
                  <c:v>0.19999999999999996</c:v>
                </c:pt>
                <c:pt idx="6">
                  <c:v>0.18999999999999995</c:v>
                </c:pt>
                <c:pt idx="7">
                  <c:v>0.17999999999999994</c:v>
                </c:pt>
                <c:pt idx="8">
                  <c:v>0.16999999999999993</c:v>
                </c:pt>
                <c:pt idx="9">
                  <c:v>0.15999999999999992</c:v>
                </c:pt>
                <c:pt idx="10">
                  <c:v>0.14999999999999991</c:v>
                </c:pt>
                <c:pt idx="11">
                  <c:v>0.1399999999999999</c:v>
                </c:pt>
                <c:pt idx="12">
                  <c:v>0.12999999999999989</c:v>
                </c:pt>
                <c:pt idx="13">
                  <c:v>0.1199999999999999</c:v>
                </c:pt>
                <c:pt idx="14">
                  <c:v>0.1099999999999999</c:v>
                </c:pt>
                <c:pt idx="15">
                  <c:v>9.9999999999999908E-2</c:v>
                </c:pt>
                <c:pt idx="16">
                  <c:v>8.9999999999999913E-2</c:v>
                </c:pt>
                <c:pt idx="17">
                  <c:v>7.9999999999999918E-2</c:v>
                </c:pt>
                <c:pt idx="18">
                  <c:v>6.9999999999999923E-2</c:v>
                </c:pt>
                <c:pt idx="19">
                  <c:v>5.9999999999999921E-2</c:v>
                </c:pt>
                <c:pt idx="20">
                  <c:v>4.999999999999992E-2</c:v>
                </c:pt>
                <c:pt idx="21">
                  <c:v>3.9999999999999918E-2</c:v>
                </c:pt>
                <c:pt idx="22">
                  <c:v>2.9999999999999916E-2</c:v>
                </c:pt>
                <c:pt idx="23">
                  <c:v>1.9999999999999914E-2</c:v>
                </c:pt>
              </c:numCache>
            </c:numRef>
          </c:xVal>
          <c:yVal>
            <c:numRef>
              <c:f>'Граф-1'!$B$2:$B$25</c:f>
              <c:numCache>
                <c:formatCode>General</c:formatCode>
                <c:ptCount val="24"/>
                <c:pt idx="0">
                  <c:v>1</c:v>
                </c:pt>
                <c:pt idx="1">
                  <c:v>0.66666666666666652</c:v>
                </c:pt>
                <c:pt idx="2">
                  <c:v>0.55903758157691508</c:v>
                </c:pt>
                <c:pt idx="3">
                  <c:v>0.48543145110505564</c:v>
                </c:pt>
                <c:pt idx="4">
                  <c:v>0.42857142857142844</c:v>
                </c:pt>
                <c:pt idx="5">
                  <c:v>0.38196601125010499</c:v>
                </c:pt>
                <c:pt idx="6">
                  <c:v>0.34237381958780078</c:v>
                </c:pt>
                <c:pt idx="7">
                  <c:v>0.3079159382974494</c:v>
                </c:pt>
                <c:pt idx="8">
                  <c:v>0.27739580897282917</c:v>
                </c:pt>
                <c:pt idx="9">
                  <c:v>0.24999999999999975</c:v>
                </c:pt>
                <c:pt idx="10">
                  <c:v>0.22514822655441361</c:v>
                </c:pt>
                <c:pt idx="11">
                  <c:v>0.20241086403185704</c:v>
                </c:pt>
                <c:pt idx="12">
                  <c:v>0.18146029604788086</c:v>
                </c:pt>
                <c:pt idx="13">
                  <c:v>0.16204060378000873</c:v>
                </c:pt>
                <c:pt idx="14">
                  <c:v>0.14394783020550767</c:v>
                </c:pt>
                <c:pt idx="15">
                  <c:v>0.12701665379258295</c:v>
                </c:pt>
                <c:pt idx="16">
                  <c:v>0.11111111111111095</c:v>
                </c:pt>
                <c:pt idx="17">
                  <c:v>9.6117967977924157E-2</c:v>
                </c:pt>
                <c:pt idx="18">
                  <c:v>8.1941875543878245E-2</c:v>
                </c:pt>
                <c:pt idx="19">
                  <c:v>6.8501760765543984E-2</c:v>
                </c:pt>
                <c:pt idx="20">
                  <c:v>5.5728090000841099E-2</c:v>
                </c:pt>
                <c:pt idx="21">
                  <c:v>4.3560762610399865E-2</c:v>
                </c:pt>
                <c:pt idx="22">
                  <c:v>3.1947467255234743E-2</c:v>
                </c:pt>
                <c:pt idx="23">
                  <c:v>2.0842383436402163E-2</c:v>
                </c:pt>
              </c:numCache>
            </c:numRef>
          </c:yVal>
        </c:ser>
        <c:ser>
          <c:idx val="1"/>
          <c:order val="1"/>
          <c:tx>
            <c:v>M(x)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'Граф-1'!$A$2:$A$15</c:f>
              <c:numCache>
                <c:formatCode>General</c:formatCode>
                <c:ptCount val="14"/>
                <c:pt idx="0">
                  <c:v>0.25</c:v>
                </c:pt>
                <c:pt idx="1">
                  <c:v>0.24</c:v>
                </c:pt>
                <c:pt idx="2">
                  <c:v>0.22999999999999998</c:v>
                </c:pt>
                <c:pt idx="3">
                  <c:v>0.21999999999999997</c:v>
                </c:pt>
                <c:pt idx="4">
                  <c:v>0.20999999999999996</c:v>
                </c:pt>
                <c:pt idx="5">
                  <c:v>0.19999999999999996</c:v>
                </c:pt>
                <c:pt idx="6">
                  <c:v>0.18999999999999995</c:v>
                </c:pt>
                <c:pt idx="7">
                  <c:v>0.17999999999999994</c:v>
                </c:pt>
                <c:pt idx="8">
                  <c:v>0.16999999999999993</c:v>
                </c:pt>
                <c:pt idx="9">
                  <c:v>0.15999999999999992</c:v>
                </c:pt>
                <c:pt idx="10">
                  <c:v>0.14999999999999991</c:v>
                </c:pt>
                <c:pt idx="11">
                  <c:v>0.1399999999999999</c:v>
                </c:pt>
                <c:pt idx="12">
                  <c:v>0.12999999999999989</c:v>
                </c:pt>
                <c:pt idx="13">
                  <c:v>0.1199999999999999</c:v>
                </c:pt>
              </c:numCache>
            </c:numRef>
          </c:xVal>
          <c:yVal>
            <c:numRef>
              <c:f>'Граф-1'!$C$2:$C$15</c:f>
              <c:numCache>
                <c:formatCode>General</c:formatCode>
                <c:ptCount val="14"/>
                <c:pt idx="0">
                  <c:v>1</c:v>
                </c:pt>
                <c:pt idx="1">
                  <c:v>1.5000000000000004</c:v>
                </c:pt>
                <c:pt idx="2">
                  <c:v>1.7887885053796069</c:v>
                </c:pt>
                <c:pt idx="3">
                  <c:v>2.0600230943494902</c:v>
                </c:pt>
                <c:pt idx="4">
                  <c:v>2.3333333333333339</c:v>
                </c:pt>
                <c:pt idx="5">
                  <c:v>2.6180339887498958</c:v>
                </c:pt>
                <c:pt idx="6">
                  <c:v>2.9207840751490428</c:v>
                </c:pt>
                <c:pt idx="7">
                  <c:v>3.2476396172581086</c:v>
                </c:pt>
                <c:pt idx="8">
                  <c:v>3.6049571322036438</c:v>
                </c:pt>
                <c:pt idx="9">
                  <c:v>4.0000000000000036</c:v>
                </c:pt>
                <c:pt idx="10">
                  <c:v>4.4415184401122563</c:v>
                </c:pt>
                <c:pt idx="11">
                  <c:v>4.9404462788252905</c:v>
                </c:pt>
                <c:pt idx="12">
                  <c:v>5.5108473962598179</c:v>
                </c:pt>
                <c:pt idx="13">
                  <c:v>6.1712927295533317</c:v>
                </c:pt>
              </c:numCache>
            </c:numRef>
          </c:yVal>
        </c:ser>
        <c:axId val="63087360"/>
        <c:axId val="63089664"/>
      </c:scatterChart>
      <c:valAx>
        <c:axId val="63087360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0.85902887139107753"/>
              <c:y val="0.70328703703703699"/>
            </c:manualLayout>
          </c:layout>
        </c:title>
        <c:numFmt formatCode="General" sourceLinked="1"/>
        <c:majorTickMark val="none"/>
        <c:tickLblPos val="nextTo"/>
        <c:crossAx val="63089664"/>
        <c:crosses val="autoZero"/>
        <c:crossBetween val="midCat"/>
      </c:valAx>
      <c:valAx>
        <c:axId val="6308966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30873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251377952755849"/>
          <c:y val="0.198898366870808"/>
          <c:w val="0.14648622047244136"/>
          <c:h val="0.18984762321376492"/>
        </c:manualLayout>
      </c:layout>
      <c:txPr>
        <a:bodyPr/>
        <a:lstStyle/>
        <a:p>
          <a:pPr>
            <a:defRPr sz="1200"/>
          </a:pPr>
          <a:endParaRPr lang="ru-RU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Функции</a:t>
            </a:r>
            <a:r>
              <a:rPr lang="ru-RU" sz="1400" baseline="0"/>
              <a:t> </a:t>
            </a:r>
            <a:r>
              <a:rPr lang="en-US" sz="1400" baseline="0"/>
              <a:t>m(y) </a:t>
            </a:r>
            <a:r>
              <a:rPr lang="ru-RU" sz="1400" baseline="0"/>
              <a:t>и </a:t>
            </a:r>
            <a:r>
              <a:rPr lang="en-US" sz="1400" baseline="0"/>
              <a:t>M(y)</a:t>
            </a:r>
            <a:endParaRPr lang="ru-RU" sz="1400"/>
          </a:p>
        </c:rich>
      </c:tx>
    </c:title>
    <c:plotArea>
      <c:layout>
        <c:manualLayout>
          <c:layoutTarget val="inner"/>
          <c:xMode val="edge"/>
          <c:yMode val="edge"/>
          <c:x val="6.2071741032370953E-2"/>
          <c:y val="0.17218759113444151"/>
          <c:w val="0.85901159230096269"/>
          <c:h val="0.61683617672790858"/>
        </c:manualLayout>
      </c:layout>
      <c:scatterChart>
        <c:scatterStyle val="lineMarker"/>
        <c:ser>
          <c:idx val="0"/>
          <c:order val="0"/>
          <c:tx>
            <c:v>m(y)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'Граф-1'!$D$2:$D$25</c:f>
              <c:numCache>
                <c:formatCode>General</c:formatCode>
                <c:ptCount val="24"/>
                <c:pt idx="0">
                  <c:v>0.5</c:v>
                </c:pt>
                <c:pt idx="1">
                  <c:v>0.39999999999999997</c:v>
                </c:pt>
                <c:pt idx="2">
                  <c:v>0.35857864376269044</c:v>
                </c:pt>
                <c:pt idx="3">
                  <c:v>0.32679491924311221</c:v>
                </c:pt>
                <c:pt idx="4">
                  <c:v>0.29999999999999993</c:v>
                </c:pt>
                <c:pt idx="5">
                  <c:v>0.27639320225002095</c:v>
                </c:pt>
                <c:pt idx="6">
                  <c:v>0.25505102572168209</c:v>
                </c:pt>
                <c:pt idx="7">
                  <c:v>0.23542486889354081</c:v>
                </c:pt>
                <c:pt idx="8">
                  <c:v>0.21715728752538088</c:v>
                </c:pt>
                <c:pt idx="9">
                  <c:v>0.19999999999999984</c:v>
                </c:pt>
                <c:pt idx="10">
                  <c:v>0.18377223398316195</c:v>
                </c:pt>
                <c:pt idx="11">
                  <c:v>0.16833752096445986</c:v>
                </c:pt>
                <c:pt idx="12">
                  <c:v>0.15358983848622437</c:v>
                </c:pt>
                <c:pt idx="13">
                  <c:v>0.13944487245360093</c:v>
                </c:pt>
                <c:pt idx="14">
                  <c:v>0.12583426132260572</c:v>
                </c:pt>
                <c:pt idx="15">
                  <c:v>0.11270166537925819</c:v>
                </c:pt>
                <c:pt idx="16">
                  <c:v>9.9999999999999867E-2</c:v>
                </c:pt>
                <c:pt idx="17">
                  <c:v>8.7689437438233819E-2</c:v>
                </c:pt>
                <c:pt idx="18">
                  <c:v>7.5735931288071379E-2</c:v>
                </c:pt>
                <c:pt idx="19">
                  <c:v>6.4110105645932558E-2</c:v>
                </c:pt>
                <c:pt idx="20">
                  <c:v>5.2786404500041961E-2</c:v>
                </c:pt>
                <c:pt idx="21">
                  <c:v>4.1742430504415895E-2</c:v>
                </c:pt>
                <c:pt idx="22">
                  <c:v>3.0958424017656971E-2</c:v>
                </c:pt>
                <c:pt idx="23">
                  <c:v>2.0416847668727922E-2</c:v>
                </c:pt>
              </c:numCache>
            </c:numRef>
          </c:xVal>
          <c:yVal>
            <c:numRef>
              <c:f>'Граф-1'!$B$2:$B$25</c:f>
              <c:numCache>
                <c:formatCode>General</c:formatCode>
                <c:ptCount val="24"/>
                <c:pt idx="0">
                  <c:v>1</c:v>
                </c:pt>
                <c:pt idx="1">
                  <c:v>0.66666666666666652</c:v>
                </c:pt>
                <c:pt idx="2">
                  <c:v>0.55903758157691508</c:v>
                </c:pt>
                <c:pt idx="3">
                  <c:v>0.48543145110505564</c:v>
                </c:pt>
                <c:pt idx="4">
                  <c:v>0.42857142857142844</c:v>
                </c:pt>
                <c:pt idx="5">
                  <c:v>0.38196601125010499</c:v>
                </c:pt>
                <c:pt idx="6">
                  <c:v>0.34237381958780078</c:v>
                </c:pt>
                <c:pt idx="7">
                  <c:v>0.3079159382974494</c:v>
                </c:pt>
                <c:pt idx="8">
                  <c:v>0.27739580897282917</c:v>
                </c:pt>
                <c:pt idx="9">
                  <c:v>0.24999999999999975</c:v>
                </c:pt>
                <c:pt idx="10">
                  <c:v>0.22514822655441361</c:v>
                </c:pt>
                <c:pt idx="11">
                  <c:v>0.20241086403185704</c:v>
                </c:pt>
                <c:pt idx="12">
                  <c:v>0.18146029604788086</c:v>
                </c:pt>
                <c:pt idx="13">
                  <c:v>0.16204060378000873</c:v>
                </c:pt>
                <c:pt idx="14">
                  <c:v>0.14394783020550767</c:v>
                </c:pt>
                <c:pt idx="15">
                  <c:v>0.12701665379258295</c:v>
                </c:pt>
                <c:pt idx="16">
                  <c:v>0.11111111111111095</c:v>
                </c:pt>
                <c:pt idx="17">
                  <c:v>9.6117967977924157E-2</c:v>
                </c:pt>
                <c:pt idx="18">
                  <c:v>8.1941875543878245E-2</c:v>
                </c:pt>
                <c:pt idx="19">
                  <c:v>6.8501760765543984E-2</c:v>
                </c:pt>
                <c:pt idx="20">
                  <c:v>5.5728090000841099E-2</c:v>
                </c:pt>
                <c:pt idx="21">
                  <c:v>4.3560762610399865E-2</c:v>
                </c:pt>
                <c:pt idx="22">
                  <c:v>3.1947467255234743E-2</c:v>
                </c:pt>
                <c:pt idx="23">
                  <c:v>2.0842383436402163E-2</c:v>
                </c:pt>
              </c:numCache>
            </c:numRef>
          </c:yVal>
        </c:ser>
        <c:ser>
          <c:idx val="1"/>
          <c:order val="1"/>
          <c:tx>
            <c:v>M(y)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'Граф-1'!$E$2:$E$15</c:f>
              <c:numCache>
                <c:formatCode>General</c:formatCode>
                <c:ptCount val="14"/>
                <c:pt idx="0">
                  <c:v>0.5</c:v>
                </c:pt>
                <c:pt idx="1">
                  <c:v>0.60000000000000009</c:v>
                </c:pt>
                <c:pt idx="2">
                  <c:v>0.64142135623730956</c:v>
                </c:pt>
                <c:pt idx="3">
                  <c:v>0.67320508075688779</c:v>
                </c:pt>
                <c:pt idx="4">
                  <c:v>0.70000000000000007</c:v>
                </c:pt>
                <c:pt idx="5">
                  <c:v>0.72360679774997905</c:v>
                </c:pt>
                <c:pt idx="6">
                  <c:v>0.74494897427831797</c:v>
                </c:pt>
                <c:pt idx="7">
                  <c:v>0.76457513110645925</c:v>
                </c:pt>
                <c:pt idx="8">
                  <c:v>0.78284271247461912</c:v>
                </c:pt>
                <c:pt idx="9">
                  <c:v>0.80000000000000016</c:v>
                </c:pt>
                <c:pt idx="10">
                  <c:v>0.816227766016838</c:v>
                </c:pt>
                <c:pt idx="11">
                  <c:v>0.83166247903554014</c:v>
                </c:pt>
                <c:pt idx="12">
                  <c:v>0.84641016151377557</c:v>
                </c:pt>
                <c:pt idx="13">
                  <c:v>0.86055512754639907</c:v>
                </c:pt>
              </c:numCache>
            </c:numRef>
          </c:xVal>
          <c:yVal>
            <c:numRef>
              <c:f>'Граф-1'!$C$2:$C$15</c:f>
              <c:numCache>
                <c:formatCode>General</c:formatCode>
                <c:ptCount val="14"/>
                <c:pt idx="0">
                  <c:v>1</c:v>
                </c:pt>
                <c:pt idx="1">
                  <c:v>1.5000000000000004</c:v>
                </c:pt>
                <c:pt idx="2">
                  <c:v>1.7887885053796069</c:v>
                </c:pt>
                <c:pt idx="3">
                  <c:v>2.0600230943494902</c:v>
                </c:pt>
                <c:pt idx="4">
                  <c:v>2.3333333333333339</c:v>
                </c:pt>
                <c:pt idx="5">
                  <c:v>2.6180339887498958</c:v>
                </c:pt>
                <c:pt idx="6">
                  <c:v>2.9207840751490428</c:v>
                </c:pt>
                <c:pt idx="7">
                  <c:v>3.2476396172581086</c:v>
                </c:pt>
                <c:pt idx="8">
                  <c:v>3.6049571322036438</c:v>
                </c:pt>
                <c:pt idx="9">
                  <c:v>4.0000000000000036</c:v>
                </c:pt>
                <c:pt idx="10">
                  <c:v>4.4415184401122563</c:v>
                </c:pt>
                <c:pt idx="11">
                  <c:v>4.9404462788252905</c:v>
                </c:pt>
                <c:pt idx="12">
                  <c:v>5.5108473962598179</c:v>
                </c:pt>
                <c:pt idx="13">
                  <c:v>6.1712927295533317</c:v>
                </c:pt>
              </c:numCache>
            </c:numRef>
          </c:yVal>
        </c:ser>
        <c:axId val="65432960"/>
        <c:axId val="65447424"/>
      </c:scatterChart>
      <c:valAx>
        <c:axId val="65432960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0.85902887139107786"/>
              <c:y val="0.70328703703703699"/>
            </c:manualLayout>
          </c:layout>
        </c:title>
        <c:numFmt formatCode="General" sourceLinked="1"/>
        <c:majorTickMark val="none"/>
        <c:tickLblPos val="nextTo"/>
        <c:crossAx val="65447424"/>
        <c:crosses val="autoZero"/>
        <c:crossBetween val="midCat"/>
      </c:valAx>
      <c:valAx>
        <c:axId val="654474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5432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6918044619422611"/>
          <c:y val="0.18963910761154854"/>
          <c:w val="0.14648622047244148"/>
          <c:h val="0.18984762321376492"/>
        </c:manualLayout>
      </c:layout>
      <c:txPr>
        <a:bodyPr/>
        <a:lstStyle/>
        <a:p>
          <a:pPr>
            <a:defRPr sz="1200"/>
          </a:pPr>
          <a:endParaRPr lang="ru-RU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Функции</a:t>
            </a:r>
            <a:r>
              <a:rPr lang="ru-RU" sz="1400" baseline="0"/>
              <a:t> </a:t>
            </a:r>
            <a:r>
              <a:rPr lang="en-US" sz="1400" baseline="0"/>
              <a:t>y min </a:t>
            </a:r>
            <a:r>
              <a:rPr lang="ru-RU" sz="1400" baseline="0"/>
              <a:t>и </a:t>
            </a:r>
            <a:r>
              <a:rPr lang="en-US" sz="1400" baseline="0"/>
              <a:t>y max</a:t>
            </a:r>
            <a:endParaRPr lang="ru-RU" sz="1400"/>
          </a:p>
        </c:rich>
      </c:tx>
      <c:layout/>
    </c:title>
    <c:plotArea>
      <c:layout>
        <c:manualLayout>
          <c:layoutTarget val="inner"/>
          <c:xMode val="edge"/>
          <c:yMode val="edge"/>
          <c:x val="6.2071741032370953E-2"/>
          <c:y val="0.17218759113444151"/>
          <c:w val="0.85901159230096269"/>
          <c:h val="0.61683617672790858"/>
        </c:manualLayout>
      </c:layout>
      <c:scatterChart>
        <c:scatterStyle val="lineMarker"/>
        <c:ser>
          <c:idx val="0"/>
          <c:order val="0"/>
          <c:tx>
            <c:v>y min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'Граф-2'!$A$2:$A$25</c:f>
              <c:numCache>
                <c:formatCode>General</c:formatCode>
                <c:ptCount val="24"/>
                <c:pt idx="0">
                  <c:v>0.25</c:v>
                </c:pt>
                <c:pt idx="1">
                  <c:v>0.24</c:v>
                </c:pt>
                <c:pt idx="2">
                  <c:v>0.22999999999999998</c:v>
                </c:pt>
                <c:pt idx="3">
                  <c:v>0.21999999999999997</c:v>
                </c:pt>
                <c:pt idx="4">
                  <c:v>0.20999999999999996</c:v>
                </c:pt>
                <c:pt idx="5">
                  <c:v>0.19999999999999996</c:v>
                </c:pt>
                <c:pt idx="6">
                  <c:v>0.18999999999999995</c:v>
                </c:pt>
                <c:pt idx="7">
                  <c:v>0.17999999999999994</c:v>
                </c:pt>
                <c:pt idx="8">
                  <c:v>0.16999999999999993</c:v>
                </c:pt>
                <c:pt idx="9">
                  <c:v>0.15999999999999992</c:v>
                </c:pt>
                <c:pt idx="10">
                  <c:v>0.14999999999999991</c:v>
                </c:pt>
                <c:pt idx="11">
                  <c:v>0.1399999999999999</c:v>
                </c:pt>
                <c:pt idx="12">
                  <c:v>0.12999999999999989</c:v>
                </c:pt>
                <c:pt idx="13">
                  <c:v>0.1199999999999999</c:v>
                </c:pt>
                <c:pt idx="14">
                  <c:v>0.1099999999999999</c:v>
                </c:pt>
                <c:pt idx="15">
                  <c:v>9.9999999999999908E-2</c:v>
                </c:pt>
                <c:pt idx="16">
                  <c:v>8.9999999999999913E-2</c:v>
                </c:pt>
                <c:pt idx="17">
                  <c:v>7.9999999999999918E-2</c:v>
                </c:pt>
                <c:pt idx="18">
                  <c:v>6.9999999999999923E-2</c:v>
                </c:pt>
                <c:pt idx="19">
                  <c:v>5.9999999999999921E-2</c:v>
                </c:pt>
                <c:pt idx="20">
                  <c:v>4.999999999999992E-2</c:v>
                </c:pt>
                <c:pt idx="21">
                  <c:v>3.9999999999999918E-2</c:v>
                </c:pt>
                <c:pt idx="22">
                  <c:v>2.9999999999999916E-2</c:v>
                </c:pt>
                <c:pt idx="23">
                  <c:v>1.9999999999999914E-2</c:v>
                </c:pt>
              </c:numCache>
            </c:numRef>
          </c:xVal>
          <c:yVal>
            <c:numRef>
              <c:f>'Граф-2'!$B$2:$B$25</c:f>
              <c:numCache>
                <c:formatCode>General</c:formatCode>
                <c:ptCount val="24"/>
                <c:pt idx="0">
                  <c:v>0.5</c:v>
                </c:pt>
                <c:pt idx="1">
                  <c:v>0.39999999999999991</c:v>
                </c:pt>
                <c:pt idx="2">
                  <c:v>0.35857864376269044</c:v>
                </c:pt>
                <c:pt idx="3">
                  <c:v>0.32679491924311221</c:v>
                </c:pt>
                <c:pt idx="4">
                  <c:v>0.29999999999999993</c:v>
                </c:pt>
                <c:pt idx="5">
                  <c:v>0.27639320225002095</c:v>
                </c:pt>
                <c:pt idx="6">
                  <c:v>0.25505102572168209</c:v>
                </c:pt>
                <c:pt idx="7">
                  <c:v>0.23542486889354081</c:v>
                </c:pt>
                <c:pt idx="8">
                  <c:v>0.21715728752538088</c:v>
                </c:pt>
                <c:pt idx="9">
                  <c:v>0.19999999999999987</c:v>
                </c:pt>
                <c:pt idx="10">
                  <c:v>0.18377223398316195</c:v>
                </c:pt>
                <c:pt idx="11">
                  <c:v>0.16833752096445986</c:v>
                </c:pt>
                <c:pt idx="12">
                  <c:v>0.1535898384862244</c:v>
                </c:pt>
                <c:pt idx="13">
                  <c:v>0.13944487245360093</c:v>
                </c:pt>
                <c:pt idx="14">
                  <c:v>0.12583426132260575</c:v>
                </c:pt>
                <c:pt idx="15">
                  <c:v>0.11270166537925819</c:v>
                </c:pt>
                <c:pt idx="16">
                  <c:v>9.9999999999999895E-2</c:v>
                </c:pt>
                <c:pt idx="17">
                  <c:v>8.7689437438233833E-2</c:v>
                </c:pt>
                <c:pt idx="18">
                  <c:v>7.5735931288071393E-2</c:v>
                </c:pt>
                <c:pt idx="19">
                  <c:v>6.4110105645932558E-2</c:v>
                </c:pt>
                <c:pt idx="20">
                  <c:v>5.2786404500041968E-2</c:v>
                </c:pt>
                <c:pt idx="21">
                  <c:v>4.1742430504415909E-2</c:v>
                </c:pt>
                <c:pt idx="22">
                  <c:v>3.0958424017656958E-2</c:v>
                </c:pt>
                <c:pt idx="23">
                  <c:v>2.0416847668727953E-2</c:v>
                </c:pt>
              </c:numCache>
            </c:numRef>
          </c:yVal>
        </c:ser>
        <c:ser>
          <c:idx val="1"/>
          <c:order val="1"/>
          <c:tx>
            <c:v>y max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'Граф-2'!$A$2:$A$25</c:f>
              <c:numCache>
                <c:formatCode>General</c:formatCode>
                <c:ptCount val="24"/>
                <c:pt idx="0">
                  <c:v>0.25</c:v>
                </c:pt>
                <c:pt idx="1">
                  <c:v>0.24</c:v>
                </c:pt>
                <c:pt idx="2">
                  <c:v>0.22999999999999998</c:v>
                </c:pt>
                <c:pt idx="3">
                  <c:v>0.21999999999999997</c:v>
                </c:pt>
                <c:pt idx="4">
                  <c:v>0.20999999999999996</c:v>
                </c:pt>
                <c:pt idx="5">
                  <c:v>0.19999999999999996</c:v>
                </c:pt>
                <c:pt idx="6">
                  <c:v>0.18999999999999995</c:v>
                </c:pt>
                <c:pt idx="7">
                  <c:v>0.17999999999999994</c:v>
                </c:pt>
                <c:pt idx="8">
                  <c:v>0.16999999999999993</c:v>
                </c:pt>
                <c:pt idx="9">
                  <c:v>0.15999999999999992</c:v>
                </c:pt>
                <c:pt idx="10">
                  <c:v>0.14999999999999991</c:v>
                </c:pt>
                <c:pt idx="11">
                  <c:v>0.1399999999999999</c:v>
                </c:pt>
                <c:pt idx="12">
                  <c:v>0.12999999999999989</c:v>
                </c:pt>
                <c:pt idx="13">
                  <c:v>0.1199999999999999</c:v>
                </c:pt>
                <c:pt idx="14">
                  <c:v>0.1099999999999999</c:v>
                </c:pt>
                <c:pt idx="15">
                  <c:v>9.9999999999999908E-2</c:v>
                </c:pt>
                <c:pt idx="16">
                  <c:v>8.9999999999999913E-2</c:v>
                </c:pt>
                <c:pt idx="17">
                  <c:v>7.9999999999999918E-2</c:v>
                </c:pt>
                <c:pt idx="18">
                  <c:v>6.9999999999999923E-2</c:v>
                </c:pt>
                <c:pt idx="19">
                  <c:v>5.9999999999999921E-2</c:v>
                </c:pt>
                <c:pt idx="20">
                  <c:v>4.999999999999992E-2</c:v>
                </c:pt>
                <c:pt idx="21">
                  <c:v>3.9999999999999918E-2</c:v>
                </c:pt>
                <c:pt idx="22">
                  <c:v>2.9999999999999916E-2</c:v>
                </c:pt>
                <c:pt idx="23">
                  <c:v>1.9999999999999914E-2</c:v>
                </c:pt>
              </c:numCache>
            </c:numRef>
          </c:xVal>
          <c:yVal>
            <c:numRef>
              <c:f>'Граф-2'!$C$2:$C$25</c:f>
              <c:numCache>
                <c:formatCode>General</c:formatCode>
                <c:ptCount val="24"/>
                <c:pt idx="0">
                  <c:v>0.5</c:v>
                </c:pt>
                <c:pt idx="1">
                  <c:v>0.6</c:v>
                </c:pt>
                <c:pt idx="2">
                  <c:v>0.64142135623730956</c:v>
                </c:pt>
                <c:pt idx="3">
                  <c:v>0.67320508075688779</c:v>
                </c:pt>
                <c:pt idx="4">
                  <c:v>0.70000000000000007</c:v>
                </c:pt>
                <c:pt idx="5">
                  <c:v>0.72360679774997905</c:v>
                </c:pt>
                <c:pt idx="6">
                  <c:v>0.74494897427831785</c:v>
                </c:pt>
                <c:pt idx="7">
                  <c:v>0.76457513110645925</c:v>
                </c:pt>
                <c:pt idx="8">
                  <c:v>0.78284271247461912</c:v>
                </c:pt>
                <c:pt idx="9">
                  <c:v>0.80000000000000027</c:v>
                </c:pt>
                <c:pt idx="10">
                  <c:v>0.816227766016838</c:v>
                </c:pt>
                <c:pt idx="11">
                  <c:v>0.83166247903554014</c:v>
                </c:pt>
                <c:pt idx="12">
                  <c:v>0.84641016151377568</c:v>
                </c:pt>
                <c:pt idx="13">
                  <c:v>0.86055512754639907</c:v>
                </c:pt>
                <c:pt idx="14">
                  <c:v>0.87416573867739433</c:v>
                </c:pt>
                <c:pt idx="15">
                  <c:v>0.88729833462074181</c:v>
                </c:pt>
                <c:pt idx="16">
                  <c:v>0.90000000000000036</c:v>
                </c:pt>
                <c:pt idx="17">
                  <c:v>0.91231056256176646</c:v>
                </c:pt>
                <c:pt idx="18">
                  <c:v>0.92426406871192879</c:v>
                </c:pt>
                <c:pt idx="19">
                  <c:v>0.93588989435406744</c:v>
                </c:pt>
                <c:pt idx="20">
                  <c:v>0.94721359549995821</c:v>
                </c:pt>
                <c:pt idx="21">
                  <c:v>0.95825756949558438</c:v>
                </c:pt>
                <c:pt idx="22">
                  <c:v>0.96904157598234253</c:v>
                </c:pt>
                <c:pt idx="23">
                  <c:v>0.97958315233127369</c:v>
                </c:pt>
              </c:numCache>
            </c:numRef>
          </c:yVal>
        </c:ser>
        <c:ser>
          <c:idx val="2"/>
          <c:order val="2"/>
          <c:tx>
            <c:v>Пmax(x)</c:v>
          </c:tx>
          <c:marker>
            <c:symbol val="none"/>
          </c:marker>
          <c:xVal>
            <c:numRef>
              <c:f>'Граф-2'!$E$2:$E$30</c:f>
              <c:numCache>
                <c:formatCode>General</c:formatCode>
                <c:ptCount val="29"/>
                <c:pt idx="0">
                  <c:v>0.3</c:v>
                </c:pt>
                <c:pt idx="1">
                  <c:v>0.28999999999999998</c:v>
                </c:pt>
                <c:pt idx="2">
                  <c:v>0.27999999999999997</c:v>
                </c:pt>
                <c:pt idx="3">
                  <c:v>0.26999999999999996</c:v>
                </c:pt>
                <c:pt idx="4">
                  <c:v>0.25999999999999995</c:v>
                </c:pt>
                <c:pt idx="5">
                  <c:v>0.24999999999999994</c:v>
                </c:pt>
                <c:pt idx="6">
                  <c:v>0.23999999999999994</c:v>
                </c:pt>
                <c:pt idx="7">
                  <c:v>0.22999999999999993</c:v>
                </c:pt>
                <c:pt idx="8">
                  <c:v>0.21999999999999992</c:v>
                </c:pt>
                <c:pt idx="9">
                  <c:v>0.20999999999999991</c:v>
                </c:pt>
                <c:pt idx="10">
                  <c:v>0.1999999999999999</c:v>
                </c:pt>
                <c:pt idx="11">
                  <c:v>0.18999999999999989</c:v>
                </c:pt>
                <c:pt idx="12">
                  <c:v>0.17999999999999988</c:v>
                </c:pt>
                <c:pt idx="13">
                  <c:v>0.16999999999999987</c:v>
                </c:pt>
                <c:pt idx="14">
                  <c:v>0.15999999999999986</c:v>
                </c:pt>
                <c:pt idx="15">
                  <c:v>0.14999999999999986</c:v>
                </c:pt>
                <c:pt idx="16">
                  <c:v>0.13999999999999985</c:v>
                </c:pt>
                <c:pt idx="17">
                  <c:v>0.12999999999999984</c:v>
                </c:pt>
                <c:pt idx="18">
                  <c:v>0.11999999999999984</c:v>
                </c:pt>
                <c:pt idx="19">
                  <c:v>0.10999999999999985</c:v>
                </c:pt>
                <c:pt idx="20">
                  <c:v>9.9999999999999853E-2</c:v>
                </c:pt>
                <c:pt idx="21">
                  <c:v>8.9999999999999858E-2</c:v>
                </c:pt>
                <c:pt idx="22">
                  <c:v>7.9999999999999863E-2</c:v>
                </c:pt>
                <c:pt idx="23">
                  <c:v>6.9999999999999868E-2</c:v>
                </c:pt>
                <c:pt idx="24">
                  <c:v>5.9999999999999866E-2</c:v>
                </c:pt>
                <c:pt idx="25">
                  <c:v>4.9999999999999864E-2</c:v>
                </c:pt>
                <c:pt idx="26">
                  <c:v>3.9999999999999862E-2</c:v>
                </c:pt>
                <c:pt idx="27">
                  <c:v>2.999999999999986E-2</c:v>
                </c:pt>
                <c:pt idx="28">
                  <c:v>1.9999999999999858E-2</c:v>
                </c:pt>
              </c:numCache>
            </c:numRef>
          </c:xVal>
          <c:yVal>
            <c:numRef>
              <c:f>'Граф-2'!$D$2:$D$30</c:f>
              <c:numCache>
                <c:formatCode>General</c:formatCode>
                <c:ptCount val="29"/>
                <c:pt idx="0">
                  <c:v>0.4285714285714286</c:v>
                </c:pt>
                <c:pt idx="1">
                  <c:v>0.40845070422535212</c:v>
                </c:pt>
                <c:pt idx="2">
                  <c:v>0.38888888888888884</c:v>
                </c:pt>
                <c:pt idx="3">
                  <c:v>0.36986301369863012</c:v>
                </c:pt>
                <c:pt idx="4">
                  <c:v>0.35135135135135132</c:v>
                </c:pt>
                <c:pt idx="5">
                  <c:v>0.33333333333333326</c:v>
                </c:pt>
                <c:pt idx="6">
                  <c:v>0.31578947368421045</c:v>
                </c:pt>
                <c:pt idx="7">
                  <c:v>0.29870129870129858</c:v>
                </c:pt>
                <c:pt idx="8">
                  <c:v>0.28205128205128194</c:v>
                </c:pt>
                <c:pt idx="9">
                  <c:v>0.26582278481012644</c:v>
                </c:pt>
                <c:pt idx="10">
                  <c:v>0.24999999999999986</c:v>
                </c:pt>
                <c:pt idx="11">
                  <c:v>0.23456790123456775</c:v>
                </c:pt>
                <c:pt idx="12">
                  <c:v>0.21951219512195105</c:v>
                </c:pt>
                <c:pt idx="13">
                  <c:v>0.20481927710843356</c:v>
                </c:pt>
                <c:pt idx="14">
                  <c:v>0.1904761904761903</c:v>
                </c:pt>
                <c:pt idx="15">
                  <c:v>0.17647058823529393</c:v>
                </c:pt>
                <c:pt idx="16">
                  <c:v>0.16279069767441839</c:v>
                </c:pt>
                <c:pt idx="17">
                  <c:v>0.14942528735632163</c:v>
                </c:pt>
                <c:pt idx="18">
                  <c:v>0.13636363636363616</c:v>
                </c:pt>
                <c:pt idx="19">
                  <c:v>0.12359550561797734</c:v>
                </c:pt>
                <c:pt idx="20">
                  <c:v>0.11111111111111092</c:v>
                </c:pt>
                <c:pt idx="21">
                  <c:v>9.890109890109873E-2</c:v>
                </c:pt>
                <c:pt idx="22">
                  <c:v>8.6956521739130266E-2</c:v>
                </c:pt>
                <c:pt idx="23">
                  <c:v>7.5268817204300925E-2</c:v>
                </c:pt>
                <c:pt idx="24">
                  <c:v>6.3829787234042396E-2</c:v>
                </c:pt>
                <c:pt idx="25">
                  <c:v>5.2631578947368265E-2</c:v>
                </c:pt>
                <c:pt idx="26">
                  <c:v>4.1666666666666512E-2</c:v>
                </c:pt>
                <c:pt idx="27">
                  <c:v>3.092783505154624E-2</c:v>
                </c:pt>
                <c:pt idx="28">
                  <c:v>2.0408163265305975E-2</c:v>
                </c:pt>
              </c:numCache>
            </c:numRef>
          </c:yVal>
        </c:ser>
        <c:axId val="67399680"/>
        <c:axId val="67401600"/>
      </c:scatterChart>
      <c:valAx>
        <c:axId val="67399680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0.85902887139107786"/>
              <c:y val="0.70328703703703699"/>
            </c:manualLayout>
          </c:layout>
        </c:title>
        <c:numFmt formatCode="General" sourceLinked="1"/>
        <c:majorTickMark val="none"/>
        <c:tickLblPos val="nextTo"/>
        <c:crossAx val="67401600"/>
        <c:crosses val="autoZero"/>
        <c:crossBetween val="midCat"/>
      </c:valAx>
      <c:valAx>
        <c:axId val="674016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7399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751377952755909"/>
          <c:y val="0.19426873724117821"/>
          <c:w val="0.19543066491688538"/>
          <c:h val="0.28477143482064748"/>
        </c:manualLayout>
      </c:layout>
      <c:txPr>
        <a:bodyPr/>
        <a:lstStyle/>
        <a:p>
          <a:pPr>
            <a:defRPr sz="1200"/>
          </a:pPr>
          <a:endParaRPr lang="ru-RU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 baseline="0"/>
              <a:t>Максимальная прибыль П</a:t>
            </a:r>
            <a:r>
              <a:rPr lang="en-US" sz="1400" baseline="0"/>
              <a:t>max(x)</a:t>
            </a:r>
            <a:endParaRPr lang="en-US" sz="1400"/>
          </a:p>
        </c:rich>
      </c:tx>
      <c:layout/>
    </c:title>
    <c:plotArea>
      <c:layout>
        <c:manualLayout>
          <c:layoutTarget val="inner"/>
          <c:xMode val="edge"/>
          <c:yMode val="edge"/>
          <c:x val="6.2071741032370953E-2"/>
          <c:y val="0.17218759113444151"/>
          <c:w val="0.85901159230096269"/>
          <c:h val="0.61683617672790858"/>
        </c:manualLayout>
      </c:layout>
      <c:scatterChart>
        <c:scatterStyle val="lineMarker"/>
        <c:ser>
          <c:idx val="0"/>
          <c:order val="0"/>
          <c:tx>
            <c:v>Пmax(x)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'Граф-2'!$E$2:$E$30</c:f>
              <c:numCache>
                <c:formatCode>General</c:formatCode>
                <c:ptCount val="29"/>
                <c:pt idx="0">
                  <c:v>0.3</c:v>
                </c:pt>
                <c:pt idx="1">
                  <c:v>0.28999999999999998</c:v>
                </c:pt>
                <c:pt idx="2">
                  <c:v>0.27999999999999997</c:v>
                </c:pt>
                <c:pt idx="3">
                  <c:v>0.26999999999999996</c:v>
                </c:pt>
                <c:pt idx="4">
                  <c:v>0.25999999999999995</c:v>
                </c:pt>
                <c:pt idx="5">
                  <c:v>0.24999999999999994</c:v>
                </c:pt>
                <c:pt idx="6">
                  <c:v>0.23999999999999994</c:v>
                </c:pt>
                <c:pt idx="7">
                  <c:v>0.22999999999999993</c:v>
                </c:pt>
                <c:pt idx="8">
                  <c:v>0.21999999999999992</c:v>
                </c:pt>
                <c:pt idx="9">
                  <c:v>0.20999999999999991</c:v>
                </c:pt>
                <c:pt idx="10">
                  <c:v>0.1999999999999999</c:v>
                </c:pt>
                <c:pt idx="11">
                  <c:v>0.18999999999999989</c:v>
                </c:pt>
                <c:pt idx="12">
                  <c:v>0.17999999999999988</c:v>
                </c:pt>
                <c:pt idx="13">
                  <c:v>0.16999999999999987</c:v>
                </c:pt>
                <c:pt idx="14">
                  <c:v>0.15999999999999986</c:v>
                </c:pt>
                <c:pt idx="15">
                  <c:v>0.14999999999999986</c:v>
                </c:pt>
                <c:pt idx="16">
                  <c:v>0.13999999999999985</c:v>
                </c:pt>
                <c:pt idx="17">
                  <c:v>0.12999999999999984</c:v>
                </c:pt>
                <c:pt idx="18">
                  <c:v>0.11999999999999984</c:v>
                </c:pt>
                <c:pt idx="19">
                  <c:v>0.10999999999999985</c:v>
                </c:pt>
                <c:pt idx="20">
                  <c:v>9.9999999999999853E-2</c:v>
                </c:pt>
                <c:pt idx="21">
                  <c:v>8.9999999999999858E-2</c:v>
                </c:pt>
                <c:pt idx="22">
                  <c:v>7.9999999999999863E-2</c:v>
                </c:pt>
                <c:pt idx="23">
                  <c:v>6.9999999999999868E-2</c:v>
                </c:pt>
                <c:pt idx="24">
                  <c:v>5.9999999999999866E-2</c:v>
                </c:pt>
                <c:pt idx="25">
                  <c:v>4.9999999999999864E-2</c:v>
                </c:pt>
                <c:pt idx="26">
                  <c:v>3.9999999999999862E-2</c:v>
                </c:pt>
                <c:pt idx="27">
                  <c:v>2.999999999999986E-2</c:v>
                </c:pt>
                <c:pt idx="28">
                  <c:v>1.9999999999999858E-2</c:v>
                </c:pt>
              </c:numCache>
            </c:numRef>
          </c:xVal>
          <c:yVal>
            <c:numRef>
              <c:f>'Граф-2'!$F$2:$F$30</c:f>
              <c:numCache>
                <c:formatCode>General</c:formatCode>
                <c:ptCount val="29"/>
                <c:pt idx="0">
                  <c:v>4.0499999999999994E-2</c:v>
                </c:pt>
                <c:pt idx="1">
                  <c:v>3.6042857142857133E-2</c:v>
                </c:pt>
                <c:pt idx="2">
                  <c:v>3.2072727272727253E-2</c:v>
                </c:pt>
                <c:pt idx="3">
                  <c:v>2.8526086956521722E-2</c:v>
                </c:pt>
                <c:pt idx="4">
                  <c:v>2.5349999999999984E-2</c:v>
                </c:pt>
                <c:pt idx="5">
                  <c:v>2.2499999999999982E-2</c:v>
                </c:pt>
                <c:pt idx="6">
                  <c:v>1.993846153846152E-2</c:v>
                </c:pt>
                <c:pt idx="7">
                  <c:v>1.7633333333333317E-2</c:v>
                </c:pt>
                <c:pt idx="8">
                  <c:v>1.5557142857142841E-2</c:v>
                </c:pt>
                <c:pt idx="9">
                  <c:v>1.3686206896551707E-2</c:v>
                </c:pt>
                <c:pt idx="10">
                  <c:v>1.1999999999999983E-2</c:v>
                </c:pt>
                <c:pt idx="11">
                  <c:v>1.0480645161290306E-2</c:v>
                </c:pt>
                <c:pt idx="12">
                  <c:v>9.1124999999999835E-3</c:v>
                </c:pt>
                <c:pt idx="13">
                  <c:v>7.8818181818181669E-3</c:v>
                </c:pt>
                <c:pt idx="14">
                  <c:v>6.7764705882352796E-3</c:v>
                </c:pt>
                <c:pt idx="15">
                  <c:v>5.7857142857142725E-3</c:v>
                </c:pt>
                <c:pt idx="16">
                  <c:v>4.8999999999999868E-3</c:v>
                </c:pt>
                <c:pt idx="17">
                  <c:v>4.1108108108107982E-3</c:v>
                </c:pt>
                <c:pt idx="18">
                  <c:v>3.4105263157894628E-3</c:v>
                </c:pt>
                <c:pt idx="19">
                  <c:v>2.7923076923076838E-3</c:v>
                </c:pt>
                <c:pt idx="20">
                  <c:v>2.2499999999999925E-3</c:v>
                </c:pt>
                <c:pt idx="21">
                  <c:v>1.7780487804877989E-3</c:v>
                </c:pt>
                <c:pt idx="22">
                  <c:v>1.371428571428566E-3</c:v>
                </c:pt>
                <c:pt idx="23">
                  <c:v>1.0255813953488329E-3</c:v>
                </c:pt>
                <c:pt idx="24">
                  <c:v>7.3636363636363277E-4</c:v>
                </c:pt>
                <c:pt idx="25">
                  <c:v>4.9999999999999719E-4</c:v>
                </c:pt>
                <c:pt idx="26">
                  <c:v>3.1304347826086732E-4</c:v>
                </c:pt>
                <c:pt idx="27">
                  <c:v>1.7234042553191322E-4</c:v>
                </c:pt>
                <c:pt idx="28">
                  <c:v>7.4999999999998909E-5</c:v>
                </c:pt>
              </c:numCache>
            </c:numRef>
          </c:yVal>
        </c:ser>
        <c:axId val="67426944"/>
        <c:axId val="67441408"/>
      </c:scatterChart>
      <c:valAx>
        <c:axId val="67426944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0.85902887139107831"/>
              <c:y val="0.70328703703703699"/>
            </c:manualLayout>
          </c:layout>
        </c:title>
        <c:numFmt formatCode="General" sourceLinked="1"/>
        <c:majorTickMark val="none"/>
        <c:tickLblPos val="nextTo"/>
        <c:crossAx val="67441408"/>
        <c:crosses val="autoZero"/>
        <c:crossBetween val="midCat"/>
      </c:valAx>
      <c:valAx>
        <c:axId val="674414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7426944"/>
        <c:crosses val="autoZero"/>
        <c:crossBetween val="midCat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/>
            </a:pPr>
            <a:r>
              <a:rPr lang="ru-RU" sz="1100" baseline="0"/>
              <a:t>Норма прибавочной стоимости </a:t>
            </a:r>
            <a:r>
              <a:rPr lang="en-US" sz="1100" baseline="0"/>
              <a:t>m(x) </a:t>
            </a:r>
            <a:r>
              <a:rPr lang="ru-RU" sz="1100" baseline="0"/>
              <a:t>соответствующая максимально возможной прибыли.</a:t>
            </a:r>
            <a:endParaRPr lang="ru-RU" sz="1100"/>
          </a:p>
        </c:rich>
      </c:tx>
    </c:title>
    <c:plotArea>
      <c:layout>
        <c:manualLayout>
          <c:layoutTarget val="inner"/>
          <c:xMode val="edge"/>
          <c:yMode val="edge"/>
          <c:x val="6.2071741032370953E-2"/>
          <c:y val="0.17218759113444151"/>
          <c:w val="0.85901159230096269"/>
          <c:h val="0.61683617672790858"/>
        </c:manualLayout>
      </c:layout>
      <c:scatterChart>
        <c:scatterStyle val="lineMarker"/>
        <c:ser>
          <c:idx val="0"/>
          <c:order val="0"/>
          <c:tx>
            <c:v>Пmax(x)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'Граф-2'!$E$2:$E$30</c:f>
              <c:numCache>
                <c:formatCode>General</c:formatCode>
                <c:ptCount val="29"/>
                <c:pt idx="0">
                  <c:v>0.3</c:v>
                </c:pt>
                <c:pt idx="1">
                  <c:v>0.28999999999999998</c:v>
                </c:pt>
                <c:pt idx="2">
                  <c:v>0.27999999999999997</c:v>
                </c:pt>
                <c:pt idx="3">
                  <c:v>0.26999999999999996</c:v>
                </c:pt>
                <c:pt idx="4">
                  <c:v>0.25999999999999995</c:v>
                </c:pt>
                <c:pt idx="5">
                  <c:v>0.24999999999999994</c:v>
                </c:pt>
                <c:pt idx="6">
                  <c:v>0.23999999999999994</c:v>
                </c:pt>
                <c:pt idx="7">
                  <c:v>0.22999999999999993</c:v>
                </c:pt>
                <c:pt idx="8">
                  <c:v>0.21999999999999992</c:v>
                </c:pt>
                <c:pt idx="9">
                  <c:v>0.20999999999999991</c:v>
                </c:pt>
                <c:pt idx="10">
                  <c:v>0.1999999999999999</c:v>
                </c:pt>
                <c:pt idx="11">
                  <c:v>0.18999999999999989</c:v>
                </c:pt>
                <c:pt idx="12">
                  <c:v>0.17999999999999988</c:v>
                </c:pt>
                <c:pt idx="13">
                  <c:v>0.16999999999999987</c:v>
                </c:pt>
                <c:pt idx="14">
                  <c:v>0.15999999999999986</c:v>
                </c:pt>
                <c:pt idx="15">
                  <c:v>0.14999999999999986</c:v>
                </c:pt>
                <c:pt idx="16">
                  <c:v>0.13999999999999985</c:v>
                </c:pt>
                <c:pt idx="17">
                  <c:v>0.12999999999999984</c:v>
                </c:pt>
                <c:pt idx="18">
                  <c:v>0.11999999999999984</c:v>
                </c:pt>
                <c:pt idx="19">
                  <c:v>0.10999999999999985</c:v>
                </c:pt>
                <c:pt idx="20">
                  <c:v>9.9999999999999853E-2</c:v>
                </c:pt>
                <c:pt idx="21">
                  <c:v>8.9999999999999858E-2</c:v>
                </c:pt>
                <c:pt idx="22">
                  <c:v>7.9999999999999863E-2</c:v>
                </c:pt>
                <c:pt idx="23">
                  <c:v>6.9999999999999868E-2</c:v>
                </c:pt>
                <c:pt idx="24">
                  <c:v>5.9999999999999866E-2</c:v>
                </c:pt>
                <c:pt idx="25">
                  <c:v>4.9999999999999864E-2</c:v>
                </c:pt>
                <c:pt idx="26">
                  <c:v>3.9999999999999862E-2</c:v>
                </c:pt>
                <c:pt idx="27">
                  <c:v>2.999999999999986E-2</c:v>
                </c:pt>
                <c:pt idx="28">
                  <c:v>1.9999999999999858E-2</c:v>
                </c:pt>
              </c:numCache>
            </c:numRef>
          </c:xVal>
          <c:yVal>
            <c:numRef>
              <c:f>'Граф-2'!$G$2:$G$30</c:f>
              <c:numCache>
                <c:formatCode>General</c:formatCode>
                <c:ptCount val="29"/>
                <c:pt idx="0">
                  <c:v>0.4285714285714286</c:v>
                </c:pt>
                <c:pt idx="1">
                  <c:v>0.40845070422535212</c:v>
                </c:pt>
                <c:pt idx="2">
                  <c:v>0.38888888888888884</c:v>
                </c:pt>
                <c:pt idx="3">
                  <c:v>0.36986301369863012</c:v>
                </c:pt>
                <c:pt idx="4">
                  <c:v>0.35135135135135132</c:v>
                </c:pt>
                <c:pt idx="5">
                  <c:v>0.33333333333333326</c:v>
                </c:pt>
                <c:pt idx="6">
                  <c:v>0.31578947368421045</c:v>
                </c:pt>
                <c:pt idx="7">
                  <c:v>0.29870129870129858</c:v>
                </c:pt>
                <c:pt idx="8">
                  <c:v>0.28205128205128194</c:v>
                </c:pt>
                <c:pt idx="9">
                  <c:v>0.26582278481012644</c:v>
                </c:pt>
                <c:pt idx="10">
                  <c:v>0.24999999999999986</c:v>
                </c:pt>
                <c:pt idx="11">
                  <c:v>0.23456790123456775</c:v>
                </c:pt>
                <c:pt idx="12">
                  <c:v>0.21951219512195105</c:v>
                </c:pt>
                <c:pt idx="13">
                  <c:v>0.20481927710843356</c:v>
                </c:pt>
                <c:pt idx="14">
                  <c:v>0.1904761904761903</c:v>
                </c:pt>
                <c:pt idx="15">
                  <c:v>0.17647058823529393</c:v>
                </c:pt>
                <c:pt idx="16">
                  <c:v>0.16279069767441839</c:v>
                </c:pt>
                <c:pt idx="17">
                  <c:v>0.14942528735632163</c:v>
                </c:pt>
                <c:pt idx="18">
                  <c:v>0.13636363636363616</c:v>
                </c:pt>
                <c:pt idx="19">
                  <c:v>0.12359550561797734</c:v>
                </c:pt>
                <c:pt idx="20">
                  <c:v>0.11111111111111092</c:v>
                </c:pt>
                <c:pt idx="21">
                  <c:v>9.890109890109873E-2</c:v>
                </c:pt>
                <c:pt idx="22">
                  <c:v>8.6956521739130266E-2</c:v>
                </c:pt>
                <c:pt idx="23">
                  <c:v>7.5268817204300925E-2</c:v>
                </c:pt>
                <c:pt idx="24">
                  <c:v>6.3829787234042396E-2</c:v>
                </c:pt>
                <c:pt idx="25">
                  <c:v>5.2631578947368265E-2</c:v>
                </c:pt>
                <c:pt idx="26">
                  <c:v>4.1666666666666512E-2</c:v>
                </c:pt>
                <c:pt idx="27">
                  <c:v>3.092783505154624E-2</c:v>
                </c:pt>
                <c:pt idx="28">
                  <c:v>2.0408163265305975E-2</c:v>
                </c:pt>
              </c:numCache>
            </c:numRef>
          </c:yVal>
        </c:ser>
        <c:axId val="67449216"/>
        <c:axId val="67463040"/>
      </c:scatterChart>
      <c:valAx>
        <c:axId val="67449216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x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0.85902887139107875"/>
              <c:y val="0.70328703703703699"/>
            </c:manualLayout>
          </c:layout>
        </c:title>
        <c:numFmt formatCode="General" sourceLinked="1"/>
        <c:majorTickMark val="none"/>
        <c:tickLblPos val="nextTo"/>
        <c:crossAx val="67463040"/>
        <c:crosses val="autoZero"/>
        <c:crossBetween val="midCat"/>
      </c:valAx>
      <c:valAx>
        <c:axId val="674630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7449216"/>
        <c:crosses val="autoZero"/>
        <c:crossBetween val="midCat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123825</xdr:rowOff>
    </xdr:from>
    <xdr:to>
      <xdr:col>13</xdr:col>
      <xdr:colOff>381000</xdr:colOff>
      <xdr:row>21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13</xdr:col>
      <xdr:colOff>304800</xdr:colOff>
      <xdr:row>37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12</xdr:row>
      <xdr:rowOff>9525</xdr:rowOff>
    </xdr:from>
    <xdr:to>
      <xdr:col>14</xdr:col>
      <xdr:colOff>533400</xdr:colOff>
      <xdr:row>26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12</xdr:row>
      <xdr:rowOff>0</xdr:rowOff>
    </xdr:from>
    <xdr:to>
      <xdr:col>24</xdr:col>
      <xdr:colOff>304800</xdr:colOff>
      <xdr:row>26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28</xdr:row>
      <xdr:rowOff>0</xdr:rowOff>
    </xdr:from>
    <xdr:to>
      <xdr:col>24</xdr:col>
      <xdr:colOff>304800</xdr:colOff>
      <xdr:row>42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E42" sqref="E42"/>
    </sheetView>
  </sheetViews>
  <sheetFormatPr defaultRowHeight="15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3</v>
      </c>
    </row>
    <row r="2" spans="1:5">
      <c r="A2">
        <v>0.25</v>
      </c>
      <c r="B2">
        <f>(1-SQRT(1-4*A2))/(1+SQRT(1-4*A2))</f>
        <v>1</v>
      </c>
      <c r="C2">
        <f>1/B2</f>
        <v>1</v>
      </c>
      <c r="D2">
        <f>(1-SQRT(1-4*A2))/2</f>
        <v>0.5</v>
      </c>
      <c r="E2">
        <f>(1+SQRT(1-4*A2))/2</f>
        <v>0.5</v>
      </c>
    </row>
    <row r="3" spans="1:5">
      <c r="A3">
        <f>A2-0.01</f>
        <v>0.24</v>
      </c>
      <c r="B3">
        <f t="shared" ref="B3:B25" si="0">(1-SQRT(1-4*A3))/(1+SQRT(1-4*A3))</f>
        <v>0.66666666666666652</v>
      </c>
      <c r="C3">
        <f t="shared" ref="C3:C25" si="1">1/B3</f>
        <v>1.5000000000000004</v>
      </c>
      <c r="D3">
        <f t="shared" ref="D3:D25" si="2">(1-SQRT(1-4*A3))/2</f>
        <v>0.39999999999999997</v>
      </c>
      <c r="E3">
        <f t="shared" ref="E3:E25" si="3">(1+SQRT(1-4*A3))/2</f>
        <v>0.60000000000000009</v>
      </c>
    </row>
    <row r="4" spans="1:5">
      <c r="A4">
        <f t="shared" ref="A4:A12" si="4">A3-0.01</f>
        <v>0.22999999999999998</v>
      </c>
      <c r="B4">
        <f t="shared" si="0"/>
        <v>0.55903758157691508</v>
      </c>
      <c r="C4">
        <f t="shared" si="1"/>
        <v>1.7887885053796069</v>
      </c>
      <c r="D4">
        <f t="shared" si="2"/>
        <v>0.35857864376269044</v>
      </c>
      <c r="E4">
        <f t="shared" si="3"/>
        <v>0.64142135623730956</v>
      </c>
    </row>
    <row r="5" spans="1:5">
      <c r="A5">
        <f t="shared" si="4"/>
        <v>0.21999999999999997</v>
      </c>
      <c r="B5">
        <f t="shared" si="0"/>
        <v>0.48543145110505564</v>
      </c>
      <c r="C5">
        <f t="shared" si="1"/>
        <v>2.0600230943494902</v>
      </c>
      <c r="D5">
        <f t="shared" si="2"/>
        <v>0.32679491924311221</v>
      </c>
      <c r="E5">
        <f t="shared" si="3"/>
        <v>0.67320508075688779</v>
      </c>
    </row>
    <row r="6" spans="1:5">
      <c r="A6">
        <f t="shared" si="4"/>
        <v>0.20999999999999996</v>
      </c>
      <c r="B6">
        <f t="shared" si="0"/>
        <v>0.42857142857142844</v>
      </c>
      <c r="C6">
        <f t="shared" si="1"/>
        <v>2.3333333333333339</v>
      </c>
      <c r="D6">
        <f t="shared" si="2"/>
        <v>0.29999999999999993</v>
      </c>
      <c r="E6">
        <f t="shared" si="3"/>
        <v>0.70000000000000007</v>
      </c>
    </row>
    <row r="7" spans="1:5">
      <c r="A7">
        <f t="shared" si="4"/>
        <v>0.19999999999999996</v>
      </c>
      <c r="B7">
        <f t="shared" si="0"/>
        <v>0.38196601125010499</v>
      </c>
      <c r="C7">
        <f t="shared" si="1"/>
        <v>2.6180339887498958</v>
      </c>
      <c r="D7">
        <f t="shared" si="2"/>
        <v>0.27639320225002095</v>
      </c>
      <c r="E7">
        <f t="shared" si="3"/>
        <v>0.72360679774997905</v>
      </c>
    </row>
    <row r="8" spans="1:5">
      <c r="A8">
        <f t="shared" si="4"/>
        <v>0.18999999999999995</v>
      </c>
      <c r="B8">
        <f t="shared" si="0"/>
        <v>0.34237381958780078</v>
      </c>
      <c r="C8">
        <f t="shared" si="1"/>
        <v>2.9207840751490428</v>
      </c>
      <c r="D8">
        <f t="shared" si="2"/>
        <v>0.25505102572168209</v>
      </c>
      <c r="E8">
        <f t="shared" si="3"/>
        <v>0.74494897427831797</v>
      </c>
    </row>
    <row r="9" spans="1:5">
      <c r="A9">
        <f t="shared" si="4"/>
        <v>0.17999999999999994</v>
      </c>
      <c r="B9">
        <f t="shared" si="0"/>
        <v>0.3079159382974494</v>
      </c>
      <c r="C9">
        <f t="shared" si="1"/>
        <v>3.2476396172581086</v>
      </c>
      <c r="D9">
        <f t="shared" si="2"/>
        <v>0.23542486889354081</v>
      </c>
      <c r="E9">
        <f t="shared" si="3"/>
        <v>0.76457513110645925</v>
      </c>
    </row>
    <row r="10" spans="1:5">
      <c r="A10">
        <f t="shared" si="4"/>
        <v>0.16999999999999993</v>
      </c>
      <c r="B10">
        <f t="shared" si="0"/>
        <v>0.27739580897282917</v>
      </c>
      <c r="C10">
        <f t="shared" si="1"/>
        <v>3.6049571322036438</v>
      </c>
      <c r="D10">
        <f t="shared" si="2"/>
        <v>0.21715728752538088</v>
      </c>
      <c r="E10">
        <f t="shared" si="3"/>
        <v>0.78284271247461912</v>
      </c>
    </row>
    <row r="11" spans="1:5">
      <c r="A11">
        <f t="shared" si="4"/>
        <v>0.15999999999999992</v>
      </c>
      <c r="B11">
        <f t="shared" si="0"/>
        <v>0.24999999999999975</v>
      </c>
      <c r="C11">
        <f t="shared" si="1"/>
        <v>4.0000000000000036</v>
      </c>
      <c r="D11">
        <f t="shared" si="2"/>
        <v>0.19999999999999984</v>
      </c>
      <c r="E11">
        <f t="shared" si="3"/>
        <v>0.80000000000000016</v>
      </c>
    </row>
    <row r="12" spans="1:5">
      <c r="A12">
        <f t="shared" si="4"/>
        <v>0.14999999999999991</v>
      </c>
      <c r="B12">
        <f t="shared" si="0"/>
        <v>0.22514822655441361</v>
      </c>
      <c r="C12">
        <f t="shared" si="1"/>
        <v>4.4415184401122563</v>
      </c>
      <c r="D12">
        <f t="shared" si="2"/>
        <v>0.18377223398316195</v>
      </c>
      <c r="E12">
        <f t="shared" si="3"/>
        <v>0.816227766016838</v>
      </c>
    </row>
    <row r="13" spans="1:5">
      <c r="A13">
        <f>A12-0.01</f>
        <v>0.1399999999999999</v>
      </c>
      <c r="B13">
        <f t="shared" si="0"/>
        <v>0.20241086403185704</v>
      </c>
      <c r="C13">
        <f t="shared" si="1"/>
        <v>4.9404462788252905</v>
      </c>
      <c r="D13">
        <f t="shared" si="2"/>
        <v>0.16833752096445986</v>
      </c>
      <c r="E13">
        <f t="shared" si="3"/>
        <v>0.83166247903554014</v>
      </c>
    </row>
    <row r="14" spans="1:5">
      <c r="A14">
        <f t="shared" ref="A14:A17" si="5">A13-0.01</f>
        <v>0.12999999999999989</v>
      </c>
      <c r="B14">
        <f t="shared" si="0"/>
        <v>0.18146029604788086</v>
      </c>
      <c r="C14">
        <f t="shared" si="1"/>
        <v>5.5108473962598179</v>
      </c>
      <c r="D14">
        <f t="shared" si="2"/>
        <v>0.15358983848622437</v>
      </c>
      <c r="E14">
        <f t="shared" si="3"/>
        <v>0.84641016151377557</v>
      </c>
    </row>
    <row r="15" spans="1:5">
      <c r="A15">
        <f t="shared" si="5"/>
        <v>0.1199999999999999</v>
      </c>
      <c r="B15">
        <f t="shared" si="0"/>
        <v>0.16204060378000873</v>
      </c>
      <c r="C15">
        <f t="shared" si="1"/>
        <v>6.1712927295533317</v>
      </c>
      <c r="D15">
        <f t="shared" si="2"/>
        <v>0.13944487245360093</v>
      </c>
      <c r="E15">
        <f t="shared" si="3"/>
        <v>0.86055512754639907</v>
      </c>
    </row>
    <row r="16" spans="1:5">
      <c r="A16">
        <f t="shared" si="5"/>
        <v>0.1099999999999999</v>
      </c>
      <c r="B16">
        <f t="shared" si="0"/>
        <v>0.14394783020550767</v>
      </c>
      <c r="C16">
        <f t="shared" si="1"/>
        <v>6.9469612607035911</v>
      </c>
      <c r="D16">
        <f t="shared" si="2"/>
        <v>0.12583426132260572</v>
      </c>
      <c r="E16">
        <f t="shared" si="3"/>
        <v>0.87416573867739422</v>
      </c>
    </row>
    <row r="17" spans="1:5">
      <c r="A17">
        <f t="shared" si="5"/>
        <v>9.9999999999999908E-2</v>
      </c>
      <c r="B17">
        <f t="shared" si="0"/>
        <v>0.12701665379258295</v>
      </c>
      <c r="C17">
        <f t="shared" si="1"/>
        <v>7.8729833462074268</v>
      </c>
      <c r="D17">
        <f t="shared" si="2"/>
        <v>0.11270166537925819</v>
      </c>
      <c r="E17">
        <f t="shared" si="3"/>
        <v>0.88729833462074181</v>
      </c>
    </row>
    <row r="18" spans="1:5">
      <c r="A18">
        <f>A17-0.01</f>
        <v>8.9999999999999913E-2</v>
      </c>
      <c r="B18">
        <f t="shared" si="0"/>
        <v>0.11111111111111095</v>
      </c>
      <c r="C18">
        <f t="shared" si="1"/>
        <v>9.0000000000000124</v>
      </c>
      <c r="D18">
        <f t="shared" si="2"/>
        <v>9.9999999999999867E-2</v>
      </c>
      <c r="E18">
        <f t="shared" si="3"/>
        <v>0.90000000000000013</v>
      </c>
    </row>
    <row r="19" spans="1:5">
      <c r="A19">
        <f t="shared" ref="A19:A21" si="6">A18-0.01</f>
        <v>7.9999999999999918E-2</v>
      </c>
      <c r="B19">
        <f t="shared" si="0"/>
        <v>9.6117967977924157E-2</v>
      </c>
      <c r="C19">
        <f t="shared" si="1"/>
        <v>10.403882032022093</v>
      </c>
      <c r="D19">
        <f t="shared" si="2"/>
        <v>8.7689437438233819E-2</v>
      </c>
      <c r="E19">
        <f t="shared" si="3"/>
        <v>0.91231056256176624</v>
      </c>
    </row>
    <row r="20" spans="1:5">
      <c r="A20">
        <f t="shared" si="6"/>
        <v>6.9999999999999923E-2</v>
      </c>
      <c r="B20">
        <f t="shared" si="0"/>
        <v>8.1941875543878245E-2</v>
      </c>
      <c r="C20">
        <f t="shared" si="1"/>
        <v>12.203772410170425</v>
      </c>
      <c r="D20">
        <f t="shared" si="2"/>
        <v>7.5735931288071379E-2</v>
      </c>
      <c r="E20">
        <f t="shared" si="3"/>
        <v>0.92426406871192857</v>
      </c>
    </row>
    <row r="21" spans="1:5">
      <c r="A21">
        <f t="shared" si="6"/>
        <v>5.9999999999999921E-2</v>
      </c>
      <c r="B21">
        <f t="shared" si="0"/>
        <v>6.8501760765543984E-2</v>
      </c>
      <c r="C21">
        <f t="shared" si="1"/>
        <v>14.598164905901143</v>
      </c>
      <c r="D21">
        <f t="shared" si="2"/>
        <v>6.4110105645932558E-2</v>
      </c>
      <c r="E21">
        <f t="shared" si="3"/>
        <v>0.93588989435406744</v>
      </c>
    </row>
    <row r="22" spans="1:5">
      <c r="A22">
        <f>A21-0.01</f>
        <v>4.999999999999992E-2</v>
      </c>
      <c r="B22">
        <f t="shared" si="0"/>
        <v>5.5728090000841099E-2</v>
      </c>
      <c r="C22">
        <f t="shared" si="1"/>
        <v>17.944271909999195</v>
      </c>
      <c r="D22">
        <f t="shared" si="2"/>
        <v>5.2786404500041961E-2</v>
      </c>
      <c r="E22">
        <f t="shared" si="3"/>
        <v>0.94721359549995809</v>
      </c>
    </row>
    <row r="23" spans="1:5">
      <c r="A23">
        <f t="shared" ref="A23:A24" si="7">A22-0.01</f>
        <v>3.9999999999999918E-2</v>
      </c>
      <c r="B23">
        <f t="shared" si="0"/>
        <v>4.3560762610399865E-2</v>
      </c>
      <c r="C23">
        <f t="shared" si="1"/>
        <v>22.956439237389663</v>
      </c>
      <c r="D23">
        <f t="shared" si="2"/>
        <v>4.1742430504415895E-2</v>
      </c>
      <c r="E23">
        <f t="shared" si="3"/>
        <v>0.95825756949558416</v>
      </c>
    </row>
    <row r="24" spans="1:5">
      <c r="A24">
        <f t="shared" si="7"/>
        <v>2.9999999999999916E-2</v>
      </c>
      <c r="B24">
        <f t="shared" si="0"/>
        <v>3.1947467255234743E-2</v>
      </c>
      <c r="C24">
        <f t="shared" si="1"/>
        <v>31.301385866078171</v>
      </c>
      <c r="D24">
        <f t="shared" si="2"/>
        <v>3.0958424017656971E-2</v>
      </c>
      <c r="E24">
        <f t="shared" si="3"/>
        <v>0.96904157598234297</v>
      </c>
    </row>
    <row r="25" spans="1:5">
      <c r="A25">
        <f>A24-0.01</f>
        <v>1.9999999999999914E-2</v>
      </c>
      <c r="B25">
        <f t="shared" si="0"/>
        <v>2.0842383436402163E-2</v>
      </c>
      <c r="C25">
        <f t="shared" si="1"/>
        <v>47.979157616563896</v>
      </c>
      <c r="D25">
        <f t="shared" si="2"/>
        <v>2.0416847668727922E-2</v>
      </c>
      <c r="E25">
        <f t="shared" si="3"/>
        <v>0.97958315233127213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J5" sqref="J5"/>
    </sheetView>
  </sheetViews>
  <sheetFormatPr defaultRowHeight="15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0</v>
      </c>
      <c r="F1" t="s">
        <v>5</v>
      </c>
      <c r="G1" t="s">
        <v>11</v>
      </c>
      <c r="H1" t="s">
        <v>4</v>
      </c>
      <c r="I1">
        <v>0.5</v>
      </c>
      <c r="J1" t="s">
        <v>8</v>
      </c>
      <c r="K1">
        <v>0.3</v>
      </c>
    </row>
    <row r="2" spans="1:11">
      <c r="A2">
        <v>0.25</v>
      </c>
      <c r="B2">
        <f>2*A2/(1+SQRT(1-4*A2))</f>
        <v>0.5</v>
      </c>
      <c r="C2">
        <f>2*A2/(1-SQRT(1-4*A2))</f>
        <v>0.5</v>
      </c>
      <c r="D2">
        <f>E2/(1-E2)</f>
        <v>0.4285714285714286</v>
      </c>
      <c r="E2">
        <v>0.3</v>
      </c>
      <c r="F2">
        <f>(E2^2/(1-2*E2))*I$2*K$1/(1-I$1)</f>
        <v>4.0499999999999994E-2</v>
      </c>
      <c r="G2">
        <f>E2/(1-E2)</f>
        <v>0.4285714285714286</v>
      </c>
      <c r="H2" t="s">
        <v>6</v>
      </c>
      <c r="I2">
        <v>0.3</v>
      </c>
      <c r="J2" t="s">
        <v>9</v>
      </c>
    </row>
    <row r="3" spans="1:11">
      <c r="A3">
        <f>A2-0.01</f>
        <v>0.24</v>
      </c>
      <c r="B3">
        <f t="shared" ref="B3:B25" si="0">2*A3/(1+SQRT(1-4*A3))</f>
        <v>0.39999999999999991</v>
      </c>
      <c r="C3">
        <f t="shared" ref="C3:C25" si="1">2*A3/(1-SQRT(1-4*A3))</f>
        <v>0.6</v>
      </c>
      <c r="D3">
        <f t="shared" ref="D3:D30" si="2">E3/(1-E3)</f>
        <v>0.40845070422535212</v>
      </c>
      <c r="E3">
        <f>E2-0.01</f>
        <v>0.28999999999999998</v>
      </c>
      <c r="F3">
        <f t="shared" ref="F3:F30" si="3">(E3^2/(1-2*E3))*I$2*K$1/(1-I$1)</f>
        <v>3.6042857142857133E-2</v>
      </c>
      <c r="G3">
        <f t="shared" ref="G3:G30" si="4">E3/(1-E3)</f>
        <v>0.40845070422535212</v>
      </c>
      <c r="H3" t="s">
        <v>7</v>
      </c>
      <c r="I3">
        <v>0.2</v>
      </c>
      <c r="J3" t="s">
        <v>10</v>
      </c>
    </row>
    <row r="4" spans="1:11">
      <c r="A4">
        <f t="shared" ref="A4:A12" si="5">A3-0.01</f>
        <v>0.22999999999999998</v>
      </c>
      <c r="B4">
        <f t="shared" si="0"/>
        <v>0.35857864376269044</v>
      </c>
      <c r="C4">
        <f t="shared" si="1"/>
        <v>0.64142135623730956</v>
      </c>
      <c r="D4">
        <f t="shared" si="2"/>
        <v>0.38888888888888884</v>
      </c>
      <c r="E4">
        <f t="shared" ref="E4:E30" si="6">E3-0.01</f>
        <v>0.27999999999999997</v>
      </c>
      <c r="F4">
        <f t="shared" si="3"/>
        <v>3.2072727272727253E-2</v>
      </c>
      <c r="G4">
        <f t="shared" si="4"/>
        <v>0.38888888888888884</v>
      </c>
    </row>
    <row r="5" spans="1:11">
      <c r="A5">
        <f t="shared" si="5"/>
        <v>0.21999999999999997</v>
      </c>
      <c r="B5">
        <f t="shared" si="0"/>
        <v>0.32679491924311221</v>
      </c>
      <c r="C5">
        <f t="shared" si="1"/>
        <v>0.67320508075688779</v>
      </c>
      <c r="D5">
        <f t="shared" si="2"/>
        <v>0.36986301369863012</v>
      </c>
      <c r="E5">
        <f t="shared" si="6"/>
        <v>0.26999999999999996</v>
      </c>
      <c r="F5">
        <f t="shared" si="3"/>
        <v>2.8526086956521722E-2</v>
      </c>
      <c r="G5">
        <f t="shared" si="4"/>
        <v>0.36986301369863012</v>
      </c>
    </row>
    <row r="6" spans="1:11">
      <c r="A6">
        <f t="shared" si="5"/>
        <v>0.20999999999999996</v>
      </c>
      <c r="B6">
        <f t="shared" si="0"/>
        <v>0.29999999999999993</v>
      </c>
      <c r="C6">
        <f t="shared" si="1"/>
        <v>0.70000000000000007</v>
      </c>
      <c r="D6">
        <f t="shared" si="2"/>
        <v>0.35135135135135132</v>
      </c>
      <c r="E6">
        <f t="shared" si="6"/>
        <v>0.25999999999999995</v>
      </c>
      <c r="F6">
        <f t="shared" si="3"/>
        <v>2.5349999999999984E-2</v>
      </c>
      <c r="G6">
        <f t="shared" si="4"/>
        <v>0.35135135135135132</v>
      </c>
    </row>
    <row r="7" spans="1:11">
      <c r="A7">
        <f t="shared" si="5"/>
        <v>0.19999999999999996</v>
      </c>
      <c r="B7">
        <f t="shared" si="0"/>
        <v>0.27639320225002095</v>
      </c>
      <c r="C7">
        <f t="shared" si="1"/>
        <v>0.72360679774997905</v>
      </c>
      <c r="D7">
        <f t="shared" si="2"/>
        <v>0.33333333333333326</v>
      </c>
      <c r="E7">
        <f t="shared" si="6"/>
        <v>0.24999999999999994</v>
      </c>
      <c r="F7">
        <f t="shared" si="3"/>
        <v>2.2499999999999982E-2</v>
      </c>
      <c r="G7">
        <f t="shared" si="4"/>
        <v>0.33333333333333326</v>
      </c>
    </row>
    <row r="8" spans="1:11">
      <c r="A8">
        <f t="shared" si="5"/>
        <v>0.18999999999999995</v>
      </c>
      <c r="B8">
        <f t="shared" si="0"/>
        <v>0.25505102572168209</v>
      </c>
      <c r="C8">
        <f t="shared" si="1"/>
        <v>0.74494897427831785</v>
      </c>
      <c r="D8">
        <f t="shared" si="2"/>
        <v>0.31578947368421045</v>
      </c>
      <c r="E8">
        <f t="shared" si="6"/>
        <v>0.23999999999999994</v>
      </c>
      <c r="F8">
        <f t="shared" si="3"/>
        <v>1.993846153846152E-2</v>
      </c>
      <c r="G8">
        <f t="shared" si="4"/>
        <v>0.31578947368421045</v>
      </c>
    </row>
    <row r="9" spans="1:11">
      <c r="A9">
        <f t="shared" si="5"/>
        <v>0.17999999999999994</v>
      </c>
      <c r="B9">
        <f t="shared" si="0"/>
        <v>0.23542486889354081</v>
      </c>
      <c r="C9">
        <f t="shared" si="1"/>
        <v>0.76457513110645925</v>
      </c>
      <c r="D9">
        <f t="shared" si="2"/>
        <v>0.29870129870129858</v>
      </c>
      <c r="E9">
        <f t="shared" si="6"/>
        <v>0.22999999999999993</v>
      </c>
      <c r="F9">
        <f t="shared" si="3"/>
        <v>1.7633333333333317E-2</v>
      </c>
      <c r="G9">
        <f t="shared" si="4"/>
        <v>0.29870129870129858</v>
      </c>
    </row>
    <row r="10" spans="1:11">
      <c r="A10">
        <f t="shared" si="5"/>
        <v>0.16999999999999993</v>
      </c>
      <c r="B10">
        <f t="shared" si="0"/>
        <v>0.21715728752538088</v>
      </c>
      <c r="C10">
        <f t="shared" si="1"/>
        <v>0.78284271247461912</v>
      </c>
      <c r="D10">
        <f t="shared" si="2"/>
        <v>0.28205128205128194</v>
      </c>
      <c r="E10">
        <f t="shared" si="6"/>
        <v>0.21999999999999992</v>
      </c>
      <c r="F10">
        <f t="shared" si="3"/>
        <v>1.5557142857142841E-2</v>
      </c>
      <c r="G10">
        <f t="shared" si="4"/>
        <v>0.28205128205128194</v>
      </c>
    </row>
    <row r="11" spans="1:11">
      <c r="A11">
        <f t="shared" si="5"/>
        <v>0.15999999999999992</v>
      </c>
      <c r="B11">
        <f t="shared" si="0"/>
        <v>0.19999999999999987</v>
      </c>
      <c r="C11">
        <f t="shared" si="1"/>
        <v>0.80000000000000027</v>
      </c>
      <c r="D11">
        <f t="shared" si="2"/>
        <v>0.26582278481012644</v>
      </c>
      <c r="E11">
        <f t="shared" si="6"/>
        <v>0.20999999999999991</v>
      </c>
      <c r="F11">
        <f t="shared" si="3"/>
        <v>1.3686206896551707E-2</v>
      </c>
      <c r="G11">
        <f t="shared" si="4"/>
        <v>0.26582278481012644</v>
      </c>
    </row>
    <row r="12" spans="1:11">
      <c r="A12">
        <f t="shared" si="5"/>
        <v>0.14999999999999991</v>
      </c>
      <c r="B12">
        <f t="shared" si="0"/>
        <v>0.18377223398316195</v>
      </c>
      <c r="C12">
        <f t="shared" si="1"/>
        <v>0.816227766016838</v>
      </c>
      <c r="D12">
        <f t="shared" si="2"/>
        <v>0.24999999999999986</v>
      </c>
      <c r="E12">
        <f t="shared" si="6"/>
        <v>0.1999999999999999</v>
      </c>
      <c r="F12">
        <f t="shared" si="3"/>
        <v>1.1999999999999983E-2</v>
      </c>
      <c r="G12">
        <f t="shared" si="4"/>
        <v>0.24999999999999986</v>
      </c>
    </row>
    <row r="13" spans="1:11">
      <c r="A13">
        <f>A12-0.01</f>
        <v>0.1399999999999999</v>
      </c>
      <c r="B13">
        <f t="shared" si="0"/>
        <v>0.16833752096445986</v>
      </c>
      <c r="C13">
        <f t="shared" si="1"/>
        <v>0.83166247903554014</v>
      </c>
      <c r="D13">
        <f t="shared" si="2"/>
        <v>0.23456790123456775</v>
      </c>
      <c r="E13">
        <f t="shared" si="6"/>
        <v>0.18999999999999989</v>
      </c>
      <c r="F13">
        <f t="shared" si="3"/>
        <v>1.0480645161290306E-2</v>
      </c>
      <c r="G13">
        <f t="shared" si="4"/>
        <v>0.23456790123456775</v>
      </c>
    </row>
    <row r="14" spans="1:11">
      <c r="A14">
        <f t="shared" ref="A14:A17" si="7">A13-0.01</f>
        <v>0.12999999999999989</v>
      </c>
      <c r="B14">
        <f t="shared" si="0"/>
        <v>0.1535898384862244</v>
      </c>
      <c r="C14">
        <f t="shared" si="1"/>
        <v>0.84641016151377568</v>
      </c>
      <c r="D14">
        <f t="shared" si="2"/>
        <v>0.21951219512195105</v>
      </c>
      <c r="E14">
        <f t="shared" si="6"/>
        <v>0.17999999999999988</v>
      </c>
      <c r="F14">
        <f t="shared" si="3"/>
        <v>9.1124999999999835E-3</v>
      </c>
      <c r="G14">
        <f t="shared" si="4"/>
        <v>0.21951219512195105</v>
      </c>
    </row>
    <row r="15" spans="1:11">
      <c r="A15">
        <f t="shared" si="7"/>
        <v>0.1199999999999999</v>
      </c>
      <c r="B15">
        <f t="shared" si="0"/>
        <v>0.13944487245360093</v>
      </c>
      <c r="C15">
        <f t="shared" si="1"/>
        <v>0.86055512754639907</v>
      </c>
      <c r="D15">
        <f t="shared" si="2"/>
        <v>0.20481927710843356</v>
      </c>
      <c r="E15">
        <f t="shared" si="6"/>
        <v>0.16999999999999987</v>
      </c>
      <c r="F15">
        <f t="shared" si="3"/>
        <v>7.8818181818181669E-3</v>
      </c>
      <c r="G15">
        <f t="shared" si="4"/>
        <v>0.20481927710843356</v>
      </c>
    </row>
    <row r="16" spans="1:11">
      <c r="A16">
        <f t="shared" si="7"/>
        <v>0.1099999999999999</v>
      </c>
      <c r="B16">
        <f t="shared" si="0"/>
        <v>0.12583426132260575</v>
      </c>
      <c r="C16">
        <f t="shared" si="1"/>
        <v>0.87416573867739433</v>
      </c>
      <c r="D16">
        <f t="shared" si="2"/>
        <v>0.1904761904761903</v>
      </c>
      <c r="E16">
        <f t="shared" si="6"/>
        <v>0.15999999999999986</v>
      </c>
      <c r="F16">
        <f t="shared" si="3"/>
        <v>6.7764705882352796E-3</v>
      </c>
      <c r="G16">
        <f t="shared" si="4"/>
        <v>0.1904761904761903</v>
      </c>
    </row>
    <row r="17" spans="1:7">
      <c r="A17">
        <f t="shared" si="7"/>
        <v>9.9999999999999908E-2</v>
      </c>
      <c r="B17">
        <f t="shared" si="0"/>
        <v>0.11270166537925819</v>
      </c>
      <c r="C17">
        <f t="shared" si="1"/>
        <v>0.88729833462074181</v>
      </c>
      <c r="D17">
        <f t="shared" si="2"/>
        <v>0.17647058823529393</v>
      </c>
      <c r="E17">
        <f t="shared" si="6"/>
        <v>0.14999999999999986</v>
      </c>
      <c r="F17">
        <f t="shared" si="3"/>
        <v>5.7857142857142725E-3</v>
      </c>
      <c r="G17">
        <f t="shared" si="4"/>
        <v>0.17647058823529393</v>
      </c>
    </row>
    <row r="18" spans="1:7">
      <c r="A18">
        <f>A17-0.01</f>
        <v>8.9999999999999913E-2</v>
      </c>
      <c r="B18">
        <f t="shared" si="0"/>
        <v>9.9999999999999895E-2</v>
      </c>
      <c r="C18">
        <f t="shared" si="1"/>
        <v>0.90000000000000036</v>
      </c>
      <c r="D18">
        <f t="shared" si="2"/>
        <v>0.16279069767441839</v>
      </c>
      <c r="E18">
        <f t="shared" si="6"/>
        <v>0.13999999999999985</v>
      </c>
      <c r="F18">
        <f t="shared" si="3"/>
        <v>4.8999999999999868E-3</v>
      </c>
      <c r="G18">
        <f t="shared" si="4"/>
        <v>0.16279069767441839</v>
      </c>
    </row>
    <row r="19" spans="1:7">
      <c r="A19">
        <f t="shared" ref="A19:A21" si="8">A18-0.01</f>
        <v>7.9999999999999918E-2</v>
      </c>
      <c r="B19">
        <f t="shared" si="0"/>
        <v>8.7689437438233833E-2</v>
      </c>
      <c r="C19">
        <f t="shared" si="1"/>
        <v>0.91231056256176646</v>
      </c>
      <c r="D19">
        <f t="shared" si="2"/>
        <v>0.14942528735632163</v>
      </c>
      <c r="E19">
        <f t="shared" si="6"/>
        <v>0.12999999999999984</v>
      </c>
      <c r="F19">
        <f t="shared" si="3"/>
        <v>4.1108108108107982E-3</v>
      </c>
      <c r="G19">
        <f t="shared" si="4"/>
        <v>0.14942528735632163</v>
      </c>
    </row>
    <row r="20" spans="1:7">
      <c r="A20">
        <f t="shared" si="8"/>
        <v>6.9999999999999923E-2</v>
      </c>
      <c r="B20">
        <f t="shared" si="0"/>
        <v>7.5735931288071393E-2</v>
      </c>
      <c r="C20">
        <f t="shared" si="1"/>
        <v>0.92426406871192879</v>
      </c>
      <c r="D20">
        <f t="shared" si="2"/>
        <v>0.13636363636363616</v>
      </c>
      <c r="E20">
        <f t="shared" si="6"/>
        <v>0.11999999999999984</v>
      </c>
      <c r="F20">
        <f t="shared" si="3"/>
        <v>3.4105263157894628E-3</v>
      </c>
      <c r="G20">
        <f t="shared" si="4"/>
        <v>0.13636363636363616</v>
      </c>
    </row>
    <row r="21" spans="1:7">
      <c r="A21">
        <f t="shared" si="8"/>
        <v>5.9999999999999921E-2</v>
      </c>
      <c r="B21">
        <f t="shared" si="0"/>
        <v>6.4110105645932558E-2</v>
      </c>
      <c r="C21">
        <f t="shared" si="1"/>
        <v>0.93588989435406744</v>
      </c>
      <c r="D21">
        <f t="shared" si="2"/>
        <v>0.12359550561797734</v>
      </c>
      <c r="E21">
        <f t="shared" si="6"/>
        <v>0.10999999999999985</v>
      </c>
      <c r="F21">
        <f t="shared" si="3"/>
        <v>2.7923076923076838E-3</v>
      </c>
      <c r="G21">
        <f t="shared" si="4"/>
        <v>0.12359550561797734</v>
      </c>
    </row>
    <row r="22" spans="1:7">
      <c r="A22">
        <f>A21-0.01</f>
        <v>4.999999999999992E-2</v>
      </c>
      <c r="B22">
        <f t="shared" si="0"/>
        <v>5.2786404500041968E-2</v>
      </c>
      <c r="C22">
        <f t="shared" si="1"/>
        <v>0.94721359549995821</v>
      </c>
      <c r="D22">
        <f t="shared" si="2"/>
        <v>0.11111111111111092</v>
      </c>
      <c r="E22">
        <f t="shared" si="6"/>
        <v>9.9999999999999853E-2</v>
      </c>
      <c r="F22">
        <f t="shared" si="3"/>
        <v>2.2499999999999925E-3</v>
      </c>
      <c r="G22">
        <f t="shared" si="4"/>
        <v>0.11111111111111092</v>
      </c>
    </row>
    <row r="23" spans="1:7">
      <c r="A23">
        <f t="shared" ref="A23:A24" si="9">A22-0.01</f>
        <v>3.9999999999999918E-2</v>
      </c>
      <c r="B23">
        <f t="shared" si="0"/>
        <v>4.1742430504415909E-2</v>
      </c>
      <c r="C23">
        <f t="shared" si="1"/>
        <v>0.95825756949558438</v>
      </c>
      <c r="D23">
        <f t="shared" si="2"/>
        <v>9.890109890109873E-2</v>
      </c>
      <c r="E23">
        <f t="shared" si="6"/>
        <v>8.9999999999999858E-2</v>
      </c>
      <c r="F23">
        <f t="shared" si="3"/>
        <v>1.7780487804877989E-3</v>
      </c>
      <c r="G23">
        <f t="shared" si="4"/>
        <v>9.890109890109873E-2</v>
      </c>
    </row>
    <row r="24" spans="1:7">
      <c r="A24">
        <f t="shared" si="9"/>
        <v>2.9999999999999916E-2</v>
      </c>
      <c r="B24">
        <f t="shared" si="0"/>
        <v>3.0958424017656958E-2</v>
      </c>
      <c r="C24">
        <f t="shared" si="1"/>
        <v>0.96904157598234253</v>
      </c>
      <c r="D24">
        <f t="shared" si="2"/>
        <v>8.6956521739130266E-2</v>
      </c>
      <c r="E24">
        <f t="shared" si="6"/>
        <v>7.9999999999999863E-2</v>
      </c>
      <c r="F24">
        <f t="shared" si="3"/>
        <v>1.371428571428566E-3</v>
      </c>
      <c r="G24">
        <f t="shared" si="4"/>
        <v>8.6956521739130266E-2</v>
      </c>
    </row>
    <row r="25" spans="1:7">
      <c r="A25">
        <f>A24-0.01</f>
        <v>1.9999999999999914E-2</v>
      </c>
      <c r="B25">
        <f t="shared" si="0"/>
        <v>2.0416847668727953E-2</v>
      </c>
      <c r="C25">
        <f t="shared" si="1"/>
        <v>0.97958315233127369</v>
      </c>
      <c r="D25">
        <f t="shared" si="2"/>
        <v>7.5268817204300925E-2</v>
      </c>
      <c r="E25">
        <f t="shared" si="6"/>
        <v>6.9999999999999868E-2</v>
      </c>
      <c r="F25">
        <f t="shared" si="3"/>
        <v>1.0255813953488329E-3</v>
      </c>
      <c r="G25">
        <f t="shared" si="4"/>
        <v>7.5268817204300925E-2</v>
      </c>
    </row>
    <row r="26" spans="1:7">
      <c r="D26">
        <f t="shared" si="2"/>
        <v>6.3829787234042396E-2</v>
      </c>
      <c r="E26">
        <f t="shared" si="6"/>
        <v>5.9999999999999866E-2</v>
      </c>
      <c r="F26">
        <f t="shared" si="3"/>
        <v>7.3636363636363277E-4</v>
      </c>
      <c r="G26">
        <f t="shared" si="4"/>
        <v>6.3829787234042396E-2</v>
      </c>
    </row>
    <row r="27" spans="1:7">
      <c r="D27">
        <f t="shared" si="2"/>
        <v>5.2631578947368265E-2</v>
      </c>
      <c r="E27">
        <f t="shared" si="6"/>
        <v>4.9999999999999864E-2</v>
      </c>
      <c r="F27">
        <f t="shared" si="3"/>
        <v>4.9999999999999719E-4</v>
      </c>
      <c r="G27">
        <f t="shared" si="4"/>
        <v>5.2631578947368265E-2</v>
      </c>
    </row>
    <row r="28" spans="1:7">
      <c r="D28">
        <f t="shared" si="2"/>
        <v>4.1666666666666512E-2</v>
      </c>
      <c r="E28">
        <f t="shared" si="6"/>
        <v>3.9999999999999862E-2</v>
      </c>
      <c r="F28">
        <f t="shared" si="3"/>
        <v>3.1304347826086732E-4</v>
      </c>
      <c r="G28">
        <f t="shared" si="4"/>
        <v>4.1666666666666512E-2</v>
      </c>
    </row>
    <row r="29" spans="1:7">
      <c r="D29">
        <f t="shared" si="2"/>
        <v>3.092783505154624E-2</v>
      </c>
      <c r="E29">
        <f t="shared" si="6"/>
        <v>2.999999999999986E-2</v>
      </c>
      <c r="F29">
        <f t="shared" si="3"/>
        <v>1.7234042553191322E-4</v>
      </c>
      <c r="G29">
        <f t="shared" si="4"/>
        <v>3.092783505154624E-2</v>
      </c>
    </row>
    <row r="30" spans="1:7">
      <c r="D30">
        <f t="shared" si="2"/>
        <v>2.0408163265305975E-2</v>
      </c>
      <c r="E30">
        <f t="shared" si="6"/>
        <v>1.9999999999999858E-2</v>
      </c>
      <c r="F30">
        <f t="shared" si="3"/>
        <v>7.4999999999998909E-5</v>
      </c>
      <c r="G30">
        <f t="shared" si="4"/>
        <v>2.0408163265305975E-2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9"/>
  <sheetViews>
    <sheetView topLeftCell="A10" workbookViewId="0">
      <selection activeCell="E32" sqref="E32"/>
    </sheetView>
  </sheetViews>
  <sheetFormatPr defaultRowHeight="15"/>
  <cols>
    <col min="5" max="5" width="11.7109375" customWidth="1"/>
    <col min="9" max="9" width="11.85546875" customWidth="1"/>
    <col min="10" max="10" width="13.28515625" customWidth="1"/>
  </cols>
  <sheetData>
    <row r="1" spans="1:11">
      <c r="A1" s="30" t="s">
        <v>125</v>
      </c>
    </row>
    <row r="2" spans="1:11">
      <c r="A2" s="30" t="s">
        <v>126</v>
      </c>
    </row>
    <row r="3" spans="1:11">
      <c r="A3" s="30"/>
    </row>
    <row r="4" spans="1:11">
      <c r="A4" s="31" t="s">
        <v>103</v>
      </c>
    </row>
    <row r="5" spans="1:11">
      <c r="A5" s="18"/>
    </row>
    <row r="6" spans="1:11">
      <c r="A6" s="18"/>
    </row>
    <row r="7" spans="1:11" ht="15.75" thickBot="1">
      <c r="A7" s="18"/>
      <c r="J7" s="2" t="s">
        <v>127</v>
      </c>
    </row>
    <row r="8" spans="1:11" ht="16.5" thickTop="1" thickBot="1">
      <c r="A8" s="19" t="s">
        <v>8</v>
      </c>
      <c r="B8" s="20">
        <v>0.3</v>
      </c>
      <c r="C8" s="20" t="s">
        <v>4</v>
      </c>
      <c r="D8" s="20">
        <v>0.5</v>
      </c>
      <c r="E8" s="27" t="s">
        <v>13</v>
      </c>
      <c r="F8" s="28">
        <v>1000</v>
      </c>
      <c r="J8" t="s">
        <v>104</v>
      </c>
      <c r="K8" s="1" t="s">
        <v>105</v>
      </c>
    </row>
    <row r="9" spans="1:11" ht="15.75" thickTop="1">
      <c r="A9" s="21" t="s">
        <v>9</v>
      </c>
      <c r="B9" s="22">
        <v>0.2</v>
      </c>
      <c r="C9" s="22" t="s">
        <v>6</v>
      </c>
      <c r="D9" s="25">
        <v>0.3</v>
      </c>
      <c r="E9" t="s">
        <v>14</v>
      </c>
      <c r="F9">
        <f>F8*(1-D8-D10*F11)/D9</f>
        <v>928.57142857142821</v>
      </c>
      <c r="J9" t="s">
        <v>106</v>
      </c>
      <c r="K9" t="s">
        <v>107</v>
      </c>
    </row>
    <row r="10" spans="1:11">
      <c r="A10" s="21" t="s">
        <v>10</v>
      </c>
      <c r="B10" s="22">
        <v>0.4</v>
      </c>
      <c r="C10" s="22" t="s">
        <v>7</v>
      </c>
      <c r="D10" s="25">
        <v>0.2</v>
      </c>
      <c r="E10" t="s">
        <v>15</v>
      </c>
      <c r="F10">
        <f>F8*(D9*B11*B8+(B11*B9-1)*(1-D8))/((B11*B9-1)*D10-D9*B11*B10)</f>
        <v>1107.1428571428573</v>
      </c>
      <c r="J10" t="s">
        <v>108</v>
      </c>
      <c r="K10" t="s">
        <v>109</v>
      </c>
    </row>
    <row r="11" spans="1:11" ht="15.75" thickBot="1">
      <c r="A11" s="23" t="s">
        <v>12</v>
      </c>
      <c r="B11" s="24">
        <v>1</v>
      </c>
      <c r="C11" s="24"/>
      <c r="D11" s="26"/>
      <c r="E11" t="s">
        <v>111</v>
      </c>
      <c r="F11">
        <f>F10/F8</f>
        <v>1.1071428571428574</v>
      </c>
      <c r="J11" t="s">
        <v>12</v>
      </c>
      <c r="K11" t="s">
        <v>110</v>
      </c>
    </row>
    <row r="12" spans="1:11" ht="15.75" thickTop="1">
      <c r="A12" s="29" t="s">
        <v>123</v>
      </c>
      <c r="J12" t="s">
        <v>112</v>
      </c>
      <c r="K12" t="s">
        <v>113</v>
      </c>
    </row>
    <row r="13" spans="1:11">
      <c r="A13" t="s">
        <v>19</v>
      </c>
      <c r="B13">
        <f>B8/(1-D8)</f>
        <v>0.6</v>
      </c>
      <c r="C13" t="s">
        <v>11</v>
      </c>
      <c r="D13">
        <f>(1-B11*B14)/(B11*B14)</f>
        <v>1.631578947368421</v>
      </c>
      <c r="J13" t="s">
        <v>114</v>
      </c>
      <c r="K13" t="s">
        <v>115</v>
      </c>
    </row>
    <row r="14" spans="1:11">
      <c r="A14" t="s">
        <v>20</v>
      </c>
      <c r="B14">
        <f>D9*B13+B9</f>
        <v>0.38</v>
      </c>
      <c r="J14" t="s">
        <v>116</v>
      </c>
      <c r="K14" t="s">
        <v>117</v>
      </c>
    </row>
    <row r="15" spans="1:11">
      <c r="A15" t="s">
        <v>21</v>
      </c>
      <c r="B15">
        <f>D10*B13+B10</f>
        <v>0.52</v>
      </c>
      <c r="J15" t="s">
        <v>118</v>
      </c>
      <c r="K15" t="s">
        <v>119</v>
      </c>
    </row>
    <row r="16" spans="1:11">
      <c r="J16" t="s">
        <v>11</v>
      </c>
      <c r="K16" t="s">
        <v>124</v>
      </c>
    </row>
    <row r="17" spans="1:12">
      <c r="A17" t="s">
        <v>16</v>
      </c>
      <c r="B17">
        <f>D8*B13+B11*B14*B8</f>
        <v>0.41399999999999998</v>
      </c>
      <c r="D17" t="s">
        <v>22</v>
      </c>
      <c r="E17">
        <f>B13-B17</f>
        <v>0.186</v>
      </c>
      <c r="G17" t="s">
        <v>24</v>
      </c>
      <c r="H17">
        <f>E17/B17</f>
        <v>0.44927536231884058</v>
      </c>
    </row>
    <row r="18" spans="1:12">
      <c r="A18" t="s">
        <v>17</v>
      </c>
      <c r="B18">
        <f>D9*B13+B11*B14*B9</f>
        <v>0.25600000000000001</v>
      </c>
      <c r="D18" t="s">
        <v>5</v>
      </c>
      <c r="E18">
        <f t="shared" ref="E18:E19" si="0">B14-B18</f>
        <v>0.124</v>
      </c>
      <c r="G18" t="s">
        <v>25</v>
      </c>
      <c r="H18">
        <f t="shared" ref="H18:H19" si="1">E18/B18</f>
        <v>0.484375</v>
      </c>
    </row>
    <row r="19" spans="1:12">
      <c r="A19" t="s">
        <v>18</v>
      </c>
      <c r="B19">
        <f>D10*B13+B11*B14*B10</f>
        <v>0.27200000000000002</v>
      </c>
      <c r="D19" t="s">
        <v>23</v>
      </c>
      <c r="E19">
        <f t="shared" si="0"/>
        <v>0.248</v>
      </c>
      <c r="G19" t="s">
        <v>26</v>
      </c>
      <c r="H19">
        <f t="shared" si="1"/>
        <v>0.91176470588235292</v>
      </c>
      <c r="J19" s="2" t="s">
        <v>128</v>
      </c>
    </row>
    <row r="21" spans="1:12" ht="15.75" thickBot="1">
      <c r="A21" t="s">
        <v>120</v>
      </c>
      <c r="J21" t="s">
        <v>22</v>
      </c>
      <c r="K21" s="1" t="s">
        <v>36</v>
      </c>
      <c r="L21">
        <f>-B11*D9*B8^2/(1-D8)+(1-B11*B9)*B8</f>
        <v>0.186</v>
      </c>
    </row>
    <row r="22" spans="1:12" ht="15.75" thickTop="1">
      <c r="A22" s="3"/>
      <c r="B22" s="4" t="s">
        <v>30</v>
      </c>
      <c r="C22" s="4" t="s">
        <v>31</v>
      </c>
      <c r="D22" s="4" t="s">
        <v>32</v>
      </c>
      <c r="E22" s="4" t="s">
        <v>33</v>
      </c>
      <c r="F22" s="4" t="s">
        <v>34</v>
      </c>
      <c r="G22" s="4" t="s">
        <v>35</v>
      </c>
      <c r="H22" s="5" t="s">
        <v>11</v>
      </c>
      <c r="J22" t="s">
        <v>16</v>
      </c>
      <c r="K22" s="1" t="s">
        <v>37</v>
      </c>
      <c r="L22">
        <f>B11*D9*B8^2/(1-D8)+(D8/(1-D8)+B11*B9)*B8</f>
        <v>0.41399999999999998</v>
      </c>
    </row>
    <row r="23" spans="1:12">
      <c r="A23" s="6" t="s">
        <v>27</v>
      </c>
      <c r="B23" s="7">
        <f>D8*B13*F8</f>
        <v>300</v>
      </c>
      <c r="C23" s="7">
        <f>F8*B11*B8*B14</f>
        <v>114</v>
      </c>
      <c r="D23" s="7">
        <f>B23+C23</f>
        <v>414</v>
      </c>
      <c r="E23" s="7">
        <f>F23-D23</f>
        <v>186</v>
      </c>
      <c r="F23" s="12">
        <f>B13*F8</f>
        <v>600</v>
      </c>
      <c r="G23" s="7">
        <f>E23/D23</f>
        <v>0.44927536231884058</v>
      </c>
      <c r="H23" s="8">
        <f>E23/C23</f>
        <v>1.631578947368421</v>
      </c>
      <c r="J23" t="s">
        <v>5</v>
      </c>
      <c r="K23" s="1" t="s">
        <v>38</v>
      </c>
      <c r="L23">
        <f>-B11*B9^2+(1-D9*B11*B8/(1-D8))*B9</f>
        <v>0.12400000000000003</v>
      </c>
    </row>
    <row r="24" spans="1:12">
      <c r="A24" s="6" t="s">
        <v>28</v>
      </c>
      <c r="B24" s="7">
        <f>D9*B13*F9</f>
        <v>167.14285714285708</v>
      </c>
      <c r="C24" s="7">
        <f>F9*B11*B9*B14</f>
        <v>70.571428571428555</v>
      </c>
      <c r="D24" s="7">
        <f t="shared" ref="D24:D25" si="2">B24+C24</f>
        <v>237.71428571428564</v>
      </c>
      <c r="E24" s="7">
        <f t="shared" ref="E24:E25" si="3">F24-D24</f>
        <v>115.14285714285708</v>
      </c>
      <c r="F24" s="14">
        <f t="shared" ref="F24:F25" si="4">B14*F9</f>
        <v>352.85714285714272</v>
      </c>
      <c r="G24" s="7">
        <f t="shared" ref="G24:G25" si="5">E24/D24</f>
        <v>0.48437499999999989</v>
      </c>
      <c r="H24" s="8">
        <f t="shared" ref="H24:H25" si="6">E24/C24</f>
        <v>1.6315789473684206</v>
      </c>
      <c r="J24" t="s">
        <v>17</v>
      </c>
      <c r="K24" s="1" t="s">
        <v>39</v>
      </c>
      <c r="L24">
        <f>B11*B9^2+D9*B11*B8*B9/(1-D8)+D9*B8/(1-D8)</f>
        <v>0.25600000000000001</v>
      </c>
    </row>
    <row r="25" spans="1:12">
      <c r="A25" s="6" t="s">
        <v>29</v>
      </c>
      <c r="B25" s="7">
        <f>D10*B13*F10</f>
        <v>132.85714285714289</v>
      </c>
      <c r="C25" s="7">
        <f>F10*B11*B10*B14</f>
        <v>168.28571428571433</v>
      </c>
      <c r="D25" s="7">
        <f t="shared" si="2"/>
        <v>301.14285714285722</v>
      </c>
      <c r="E25" s="7">
        <f t="shared" si="3"/>
        <v>274.57142857142856</v>
      </c>
      <c r="F25" s="16">
        <f t="shared" si="4"/>
        <v>575.71428571428578</v>
      </c>
      <c r="G25" s="7">
        <f t="shared" si="5"/>
        <v>0.91176470588235259</v>
      </c>
      <c r="H25" s="8">
        <f t="shared" si="6"/>
        <v>1.6315789473684206</v>
      </c>
      <c r="J25" t="s">
        <v>23</v>
      </c>
      <c r="K25" s="1" t="s">
        <v>40</v>
      </c>
      <c r="L25">
        <f>B10*(1-D8-B11*(B9*(1-D8)+D9*B8))/(1-D8)</f>
        <v>0.248</v>
      </c>
    </row>
    <row r="26" spans="1:12" ht="15.75" thickBot="1">
      <c r="A26" s="9"/>
      <c r="B26" s="13">
        <f>SUM(B23:B25)</f>
        <v>600</v>
      </c>
      <c r="C26" s="15">
        <f>SUM(C23:C25)</f>
        <v>352.85714285714289</v>
      </c>
      <c r="D26" s="10">
        <f>SUM(D23:D25)</f>
        <v>952.85714285714289</v>
      </c>
      <c r="E26" s="17">
        <f>SUM(E23:E25)</f>
        <v>575.71428571428567</v>
      </c>
      <c r="F26" s="10"/>
      <c r="G26" s="10"/>
      <c r="H26" s="11"/>
      <c r="J26" t="s">
        <v>18</v>
      </c>
      <c r="K26" s="1" t="s">
        <v>41</v>
      </c>
      <c r="L26">
        <f>(B11*B10*(B9*(1-D8)+D9*B8)+D10*B8)/(1-D8)</f>
        <v>0.27200000000000002</v>
      </c>
    </row>
    <row r="27" spans="1:12" ht="15.75" thickTop="1"/>
    <row r="28" spans="1:12">
      <c r="A28" t="s">
        <v>121</v>
      </c>
      <c r="J28" t="s">
        <v>42</v>
      </c>
      <c r="K28" s="1" t="s">
        <v>43</v>
      </c>
      <c r="L28">
        <f>(1-B11*B9)*(1-D8)/(2*B11*D9)</f>
        <v>0.66666666666666674</v>
      </c>
    </row>
    <row r="29" spans="1:12">
      <c r="A29" t="s">
        <v>122</v>
      </c>
      <c r="J29" t="s">
        <v>44</v>
      </c>
      <c r="K29" s="1" t="s">
        <v>45</v>
      </c>
      <c r="L29">
        <f>(1/(2*B11))*(1-D9*B11*B8/(1-D8))</f>
        <v>0.41000000000000003</v>
      </c>
    </row>
    <row r="30" spans="1:12">
      <c r="J30" t="s">
        <v>69</v>
      </c>
      <c r="K30" s="1" t="s">
        <v>67</v>
      </c>
      <c r="L30">
        <f>(1/2)*(1-B11/L40)</f>
        <v>0.41000000000000003</v>
      </c>
    </row>
    <row r="31" spans="1:12">
      <c r="J31" t="s">
        <v>0</v>
      </c>
      <c r="K31" s="1" t="s">
        <v>46</v>
      </c>
      <c r="L31">
        <f>B11*B9</f>
        <v>0.2</v>
      </c>
    </row>
    <row r="32" spans="1:12">
      <c r="J32" t="s">
        <v>3</v>
      </c>
      <c r="K32" s="1" t="s">
        <v>46</v>
      </c>
      <c r="L32">
        <f>B9/B14</f>
        <v>0.52631578947368418</v>
      </c>
    </row>
    <row r="33" spans="10:14">
      <c r="J33" t="s">
        <v>3</v>
      </c>
      <c r="K33" s="1" t="s">
        <v>47</v>
      </c>
      <c r="L33">
        <f>L31*(1+D13)</f>
        <v>0.52631578947368429</v>
      </c>
    </row>
    <row r="34" spans="10:14">
      <c r="J34" t="s">
        <v>48</v>
      </c>
      <c r="K34" s="1" t="s">
        <v>50</v>
      </c>
      <c r="L34">
        <f>2*L31/(1+SQRT(1-4*L31))</f>
        <v>0.27639320225002106</v>
      </c>
    </row>
    <row r="35" spans="10:14">
      <c r="J35" t="s">
        <v>49</v>
      </c>
      <c r="K35" s="1" t="s">
        <v>50</v>
      </c>
      <c r="L35">
        <f>2*L31/(1-SQRT(1-4*L31))</f>
        <v>0.72360679774997894</v>
      </c>
    </row>
    <row r="36" spans="10:14">
      <c r="J36" t="s">
        <v>52</v>
      </c>
      <c r="K36" s="1" t="s">
        <v>53</v>
      </c>
      <c r="L36">
        <f>(1-SQRT(1-4*L31))/(1+SQRT(1-4*L31))</f>
        <v>0.38196601125010521</v>
      </c>
    </row>
    <row r="37" spans="10:14">
      <c r="J37" t="s">
        <v>51</v>
      </c>
      <c r="K37" s="1" t="s">
        <v>53</v>
      </c>
      <c r="L37">
        <f>1/L36</f>
        <v>2.6180339887498945</v>
      </c>
    </row>
    <row r="38" spans="10:14">
      <c r="J38" t="s">
        <v>8</v>
      </c>
      <c r="K38" s="1" t="s">
        <v>54</v>
      </c>
      <c r="L38">
        <f>B9*(1-D8)*(1/(1+D13)-L31)/(L31*D9)</f>
        <v>0.29999999999999993</v>
      </c>
    </row>
    <row r="39" spans="10:14">
      <c r="J39" t="s">
        <v>55</v>
      </c>
      <c r="K39" s="1" t="s">
        <v>56</v>
      </c>
      <c r="L39">
        <f>1/(4*B11)+(D9*B8/(2*(1-D8)))^2*B11-D9*B8/(2*(1-D8))</f>
        <v>0.1681</v>
      </c>
    </row>
    <row r="40" spans="10:14">
      <c r="J40" t="s">
        <v>57</v>
      </c>
      <c r="K40" s="1" t="s">
        <v>58</v>
      </c>
      <c r="L40">
        <f>(1-D8)/(D9*B8)</f>
        <v>5.5555555555555554</v>
      </c>
    </row>
    <row r="41" spans="10:14">
      <c r="J41" t="s">
        <v>60</v>
      </c>
      <c r="K41" s="1" t="s">
        <v>59</v>
      </c>
      <c r="L41">
        <f>L29+1/L40</f>
        <v>0.59000000000000008</v>
      </c>
    </row>
    <row r="42" spans="10:14">
      <c r="J42" t="s">
        <v>61</v>
      </c>
      <c r="K42" s="1" t="s">
        <v>59</v>
      </c>
      <c r="L42">
        <f>B11*(L41+L29)</f>
        <v>1</v>
      </c>
    </row>
    <row r="43" spans="10:14">
      <c r="J43" t="s">
        <v>73</v>
      </c>
      <c r="K43" s="1" t="s">
        <v>74</v>
      </c>
      <c r="L43">
        <f>L30/(1-L30)</f>
        <v>0.69491525423728817</v>
      </c>
      <c r="M43">
        <f>L31/(1-L31)</f>
        <v>0.25</v>
      </c>
    </row>
    <row r="44" spans="10:14">
      <c r="J44" t="s">
        <v>63</v>
      </c>
      <c r="K44" s="1" t="s">
        <v>62</v>
      </c>
      <c r="L44">
        <f>B11*B14</f>
        <v>0.38</v>
      </c>
      <c r="M44">
        <f>L31/L32</f>
        <v>0.38000000000000006</v>
      </c>
      <c r="N44">
        <f>L31+B11/L40</f>
        <v>0.38</v>
      </c>
    </row>
    <row r="45" spans="10:14">
      <c r="J45" t="s">
        <v>12</v>
      </c>
      <c r="K45" s="1" t="s">
        <v>64</v>
      </c>
      <c r="L45">
        <f>L31*(1-L32)*L40/L32</f>
        <v>1.0000000000000002</v>
      </c>
    </row>
    <row r="46" spans="10:14">
      <c r="J46" t="s">
        <v>65</v>
      </c>
      <c r="K46" s="1" t="s">
        <v>66</v>
      </c>
      <c r="L46">
        <f>(L32-L31)/(L40*(1-L32))</f>
        <v>0.12399999999999997</v>
      </c>
    </row>
    <row r="47" spans="10:14">
      <c r="J47" t="s">
        <v>68</v>
      </c>
      <c r="K47" s="1" t="s">
        <v>67</v>
      </c>
      <c r="L47">
        <f>L30^2/(L40*(1-2*L30))</f>
        <v>0.16810000000000008</v>
      </c>
    </row>
    <row r="48" spans="10:14">
      <c r="J48" t="s">
        <v>70</v>
      </c>
      <c r="K48" s="1" t="s">
        <v>71</v>
      </c>
      <c r="L48">
        <f>D13*L32/((1+D13)*(1-L32)*L40)</f>
        <v>0.12399999999999997</v>
      </c>
    </row>
    <row r="49" spans="10:13">
      <c r="J49" t="s">
        <v>75</v>
      </c>
      <c r="K49" s="1" t="s">
        <v>77</v>
      </c>
      <c r="L49">
        <f>L43/L30-1</f>
        <v>0.69491525423728806</v>
      </c>
    </row>
    <row r="50" spans="10:13">
      <c r="J50" t="s">
        <v>76</v>
      </c>
      <c r="K50" s="1" t="s">
        <v>72</v>
      </c>
      <c r="L50">
        <f>L49^2/(L40*(1-L49^2))</f>
        <v>0.16809999999999994</v>
      </c>
    </row>
    <row r="51" spans="10:13">
      <c r="J51" t="s">
        <v>79</v>
      </c>
      <c r="K51" s="1" t="s">
        <v>78</v>
      </c>
      <c r="L51">
        <f>L43^2/(L40*(1-L43^2))</f>
        <v>0.16810000000000003</v>
      </c>
    </row>
    <row r="52" spans="10:13">
      <c r="J52" t="s">
        <v>12</v>
      </c>
      <c r="K52" s="1" t="s">
        <v>80</v>
      </c>
      <c r="L52">
        <f>(1-2*L30)*L40</f>
        <v>0.99999999999999967</v>
      </c>
    </row>
    <row r="53" spans="10:13">
      <c r="J53" t="s">
        <v>69</v>
      </c>
      <c r="K53" s="1" t="s">
        <v>81</v>
      </c>
      <c r="L53">
        <f>(1/2)*(1-B11/L40)</f>
        <v>0.41000000000000003</v>
      </c>
    </row>
    <row r="54" spans="10:13">
      <c r="J54" t="s">
        <v>12</v>
      </c>
      <c r="K54" s="1" t="s">
        <v>81</v>
      </c>
      <c r="L54">
        <f>1/(1/L40+2*L29)</f>
        <v>1</v>
      </c>
    </row>
    <row r="55" spans="10:13">
      <c r="J55" t="s">
        <v>83</v>
      </c>
      <c r="K55" s="1" t="s">
        <v>84</v>
      </c>
      <c r="L55">
        <f>D9*L28/(2*D9+(1-D8)*B9/L28)</f>
        <v>0.26666666666666666</v>
      </c>
      <c r="M55">
        <f>(1-B11*B9)*L28/2</f>
        <v>0.26666666666666672</v>
      </c>
    </row>
    <row r="56" spans="10:13">
      <c r="J56" t="s">
        <v>82</v>
      </c>
      <c r="K56" s="1" t="s">
        <v>85</v>
      </c>
      <c r="L56">
        <f>(1-D8)*L29/(D9*B8/L29+2*(1-D8))</f>
        <v>0.16810000000000003</v>
      </c>
    </row>
    <row r="57" spans="10:13">
      <c r="J57" t="s">
        <v>87</v>
      </c>
      <c r="K57" s="1" t="s">
        <v>86</v>
      </c>
      <c r="L57">
        <f>(1-D8)/(D9*L28)</f>
        <v>2.5</v>
      </c>
    </row>
    <row r="58" spans="10:13">
      <c r="J58" t="s">
        <v>12</v>
      </c>
      <c r="K58" s="1" t="s">
        <v>86</v>
      </c>
      <c r="L58">
        <f>1/(2/L57+B9)</f>
        <v>1</v>
      </c>
    </row>
    <row r="59" spans="10:13">
      <c r="J59" t="s">
        <v>89</v>
      </c>
      <c r="K59" s="1" t="s">
        <v>88</v>
      </c>
      <c r="L59">
        <f>((1-B11*B9)*(1-D8)-B11*D9*B8)/(B11*D9*B8+D8+B11*B9*(1-D8))</f>
        <v>0.44927536231884069</v>
      </c>
    </row>
    <row r="60" spans="10:13">
      <c r="J60" t="s">
        <v>90</v>
      </c>
      <c r="K60" s="1" t="s">
        <v>92</v>
      </c>
      <c r="L60">
        <f>(-B11*(1-D8)*B9^2+(1-D8-D9*B11*B8)*B9)/(B11*(1-D8)*B9^2+D9*B11*B8*B9+D9*B8)</f>
        <v>0.48437500000000011</v>
      </c>
    </row>
    <row r="61" spans="10:13">
      <c r="J61" t="s">
        <v>91</v>
      </c>
      <c r="K61" s="1" t="s">
        <v>93</v>
      </c>
      <c r="L61">
        <f>B10*(1-D8-B11*(B9*(1-D8)+D9*B8))/(B11*B10*(B9*(1-D8)+D9*B8)+D10*B8)</f>
        <v>0.91176470588235292</v>
      </c>
    </row>
    <row r="62" spans="10:13">
      <c r="J62" t="s">
        <v>95</v>
      </c>
      <c r="K62" s="1" t="s">
        <v>94</v>
      </c>
      <c r="L62">
        <f>(1-D8)*(1-L32)/(D9*(1+D13))</f>
        <v>0.3</v>
      </c>
    </row>
    <row r="63" spans="10:13">
      <c r="J63" t="s">
        <v>95</v>
      </c>
      <c r="K63" s="1" t="s">
        <v>96</v>
      </c>
      <c r="L63">
        <f>L32/(1+D13)</f>
        <v>0.19999999999999998</v>
      </c>
    </row>
    <row r="64" spans="10:13">
      <c r="J64" t="s">
        <v>99</v>
      </c>
      <c r="K64" s="1" t="s">
        <v>97</v>
      </c>
      <c r="L64">
        <f>(1-D8)*D13/(1+D8*D13)</f>
        <v>0.44927536231884052</v>
      </c>
    </row>
    <row r="65" spans="10:12">
      <c r="J65" t="s">
        <v>100</v>
      </c>
      <c r="K65" s="1" t="s">
        <v>98</v>
      </c>
      <c r="L65">
        <f>D13*L32/(1+D13*(1-L32))</f>
        <v>0.48437499999999994</v>
      </c>
    </row>
    <row r="66" spans="10:12">
      <c r="J66" t="s">
        <v>102</v>
      </c>
      <c r="K66" s="1" t="s">
        <v>101</v>
      </c>
      <c r="L66">
        <f>B11*B10*D13/(B11*B10+D10*(1-L32)/D9)</f>
        <v>0.91176470588235281</v>
      </c>
    </row>
    <row r="67" spans="10:12">
      <c r="K67" s="1"/>
    </row>
    <row r="68" spans="10:12">
      <c r="K68" s="1"/>
    </row>
    <row r="69" spans="10:12">
      <c r="K69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9"/>
  <sheetViews>
    <sheetView workbookViewId="0">
      <selection activeCell="G14" sqref="G14"/>
    </sheetView>
  </sheetViews>
  <sheetFormatPr defaultRowHeight="15"/>
  <cols>
    <col min="5" max="5" width="11.7109375" customWidth="1"/>
    <col min="9" max="9" width="11.85546875" customWidth="1"/>
    <col min="10" max="10" width="13.28515625" customWidth="1"/>
  </cols>
  <sheetData>
    <row r="1" spans="1:11">
      <c r="A1" s="30" t="s">
        <v>125</v>
      </c>
    </row>
    <row r="2" spans="1:11">
      <c r="A2" s="30" t="s">
        <v>126</v>
      </c>
    </row>
    <row r="3" spans="1:11">
      <c r="A3" s="30"/>
    </row>
    <row r="4" spans="1:11">
      <c r="A4" s="31" t="s">
        <v>103</v>
      </c>
    </row>
    <row r="5" spans="1:11">
      <c r="A5" s="18" t="s">
        <v>129</v>
      </c>
    </row>
    <row r="6" spans="1:11">
      <c r="A6" s="18" t="s">
        <v>131</v>
      </c>
    </row>
    <row r="7" spans="1:11" ht="15.75" thickBot="1">
      <c r="A7" s="18"/>
      <c r="J7" s="2" t="s">
        <v>127</v>
      </c>
    </row>
    <row r="8" spans="1:11" ht="16.5" thickTop="1" thickBot="1">
      <c r="A8" s="19" t="s">
        <v>8</v>
      </c>
      <c r="B8" s="32">
        <f>4/9</f>
        <v>0.44444444444444442</v>
      </c>
      <c r="C8" s="20" t="s">
        <v>4</v>
      </c>
      <c r="D8" s="20">
        <v>0.6</v>
      </c>
      <c r="E8" s="27" t="s">
        <v>13</v>
      </c>
      <c r="F8" s="28">
        <v>1000</v>
      </c>
      <c r="J8" t="s">
        <v>104</v>
      </c>
      <c r="K8" s="1" t="s">
        <v>105</v>
      </c>
    </row>
    <row r="9" spans="1:11" ht="15.75" thickTop="1">
      <c r="A9" s="21" t="s">
        <v>9</v>
      </c>
      <c r="B9" s="33">
        <f>1/3</f>
        <v>0.33333333333333331</v>
      </c>
      <c r="C9" s="22" t="s">
        <v>6</v>
      </c>
      <c r="D9" s="25">
        <v>0.3</v>
      </c>
      <c r="E9" t="s">
        <v>14</v>
      </c>
      <c r="F9">
        <f>F8*(1-D8-D10*F11)/D9</f>
        <v>982.45614035087715</v>
      </c>
      <c r="J9" t="s">
        <v>106</v>
      </c>
      <c r="K9" t="s">
        <v>107</v>
      </c>
    </row>
    <row r="10" spans="1:11">
      <c r="A10" s="21" t="s">
        <v>10</v>
      </c>
      <c r="B10" s="22">
        <v>0.4</v>
      </c>
      <c r="C10" s="22" t="s">
        <v>7</v>
      </c>
      <c r="D10" s="25">
        <v>0.2</v>
      </c>
      <c r="E10" t="s">
        <v>15</v>
      </c>
      <c r="F10">
        <f>F8*(D9*B11*B8+(B11*B9-1)*(1-D8))/((B11*B9-1)*D10-D9*B11*B10)</f>
        <v>526.31578947368439</v>
      </c>
      <c r="J10" t="s">
        <v>108</v>
      </c>
      <c r="K10" t="s">
        <v>109</v>
      </c>
    </row>
    <row r="11" spans="1:11" ht="15.75" thickBot="1">
      <c r="A11" s="23" t="s">
        <v>12</v>
      </c>
      <c r="B11" s="24">
        <v>1</v>
      </c>
      <c r="C11" s="24"/>
      <c r="D11" s="26"/>
      <c r="E11" t="s">
        <v>111</v>
      </c>
      <c r="F11">
        <f>F10/F8</f>
        <v>0.5263157894736844</v>
      </c>
      <c r="J11" t="s">
        <v>12</v>
      </c>
      <c r="K11" t="s">
        <v>110</v>
      </c>
    </row>
    <row r="12" spans="1:11" ht="15.75" thickTop="1">
      <c r="A12" s="29" t="s">
        <v>123</v>
      </c>
      <c r="J12" t="s">
        <v>112</v>
      </c>
      <c r="K12" t="s">
        <v>113</v>
      </c>
    </row>
    <row r="13" spans="1:11">
      <c r="A13" t="s">
        <v>19</v>
      </c>
      <c r="B13">
        <f>B8/(1-D8)</f>
        <v>1.1111111111111109</v>
      </c>
      <c r="C13" t="s">
        <v>11</v>
      </c>
      <c r="D13">
        <f>(1-B11*B14)/(B11*B14)</f>
        <v>0.50000000000000033</v>
      </c>
      <c r="J13" t="s">
        <v>114</v>
      </c>
      <c r="K13" t="s">
        <v>115</v>
      </c>
    </row>
    <row r="14" spans="1:11">
      <c r="A14" t="s">
        <v>20</v>
      </c>
      <c r="B14">
        <f>D9*B13+B9</f>
        <v>0.66666666666666652</v>
      </c>
      <c r="J14" t="s">
        <v>116</v>
      </c>
      <c r="K14" t="s">
        <v>117</v>
      </c>
    </row>
    <row r="15" spans="1:11">
      <c r="A15" t="s">
        <v>21</v>
      </c>
      <c r="B15">
        <f>D10*B13+B10</f>
        <v>0.62222222222222223</v>
      </c>
      <c r="J15" t="s">
        <v>118</v>
      </c>
      <c r="K15" t="s">
        <v>119</v>
      </c>
    </row>
    <row r="16" spans="1:11">
      <c r="J16" t="s">
        <v>11</v>
      </c>
      <c r="K16" t="s">
        <v>124</v>
      </c>
    </row>
    <row r="17" spans="1:12">
      <c r="A17" t="s">
        <v>16</v>
      </c>
      <c r="B17">
        <f>D8*B13+B11*B14*B8</f>
        <v>0.9629629629629628</v>
      </c>
      <c r="D17" t="s">
        <v>22</v>
      </c>
      <c r="E17">
        <f>B13-B17</f>
        <v>0.14814814814814814</v>
      </c>
      <c r="G17" t="s">
        <v>24</v>
      </c>
      <c r="H17">
        <f>E17/B17</f>
        <v>0.15384615384615385</v>
      </c>
    </row>
    <row r="18" spans="1:12">
      <c r="A18" t="s">
        <v>17</v>
      </c>
      <c r="B18">
        <f>D9*B13+B11*B14*B9</f>
        <v>0.55555555555555536</v>
      </c>
      <c r="D18" t="s">
        <v>5</v>
      </c>
      <c r="E18">
        <f t="shared" ref="E18:E19" si="0">B14-B18</f>
        <v>0.11111111111111116</v>
      </c>
      <c r="G18" t="s">
        <v>25</v>
      </c>
      <c r="H18">
        <f t="shared" ref="H18:H19" si="1">E18/B18</f>
        <v>0.20000000000000015</v>
      </c>
    </row>
    <row r="19" spans="1:12">
      <c r="A19" t="s">
        <v>18</v>
      </c>
      <c r="B19">
        <f>D10*B13+B11*B14*B10</f>
        <v>0.48888888888888882</v>
      </c>
      <c r="D19" t="s">
        <v>23</v>
      </c>
      <c r="E19">
        <f t="shared" si="0"/>
        <v>0.13333333333333341</v>
      </c>
      <c r="G19" t="s">
        <v>26</v>
      </c>
      <c r="H19">
        <f t="shared" si="1"/>
        <v>0.27272727272727293</v>
      </c>
      <c r="J19" s="2" t="s">
        <v>128</v>
      </c>
    </row>
    <row r="21" spans="1:12" ht="15.75" thickBot="1">
      <c r="A21" t="s">
        <v>120</v>
      </c>
      <c r="J21" t="s">
        <v>22</v>
      </c>
      <c r="K21" s="1" t="s">
        <v>36</v>
      </c>
      <c r="L21">
        <f>-B11*D9*B8^2/(1-D8)+(1-B11*B9)*B8</f>
        <v>0.1481481481481482</v>
      </c>
    </row>
    <row r="22" spans="1:12" ht="15.75" thickTop="1">
      <c r="A22" s="3"/>
      <c r="B22" s="4" t="s">
        <v>30</v>
      </c>
      <c r="C22" s="4" t="s">
        <v>31</v>
      </c>
      <c r="D22" s="4" t="s">
        <v>32</v>
      </c>
      <c r="E22" s="4" t="s">
        <v>33</v>
      </c>
      <c r="F22" s="4" t="s">
        <v>34</v>
      </c>
      <c r="G22" s="4" t="s">
        <v>35</v>
      </c>
      <c r="H22" s="5" t="s">
        <v>11</v>
      </c>
      <c r="J22" t="s">
        <v>16</v>
      </c>
      <c r="K22" s="1" t="s">
        <v>37</v>
      </c>
      <c r="L22">
        <f>B11*D9*B8^2/(1-D8)+(D8/(1-D8)+B11*B9)*B8</f>
        <v>0.9629629629629628</v>
      </c>
    </row>
    <row r="23" spans="1:12">
      <c r="A23" s="6" t="s">
        <v>27</v>
      </c>
      <c r="B23" s="7">
        <f>D8*B13*F8</f>
        <v>666.66666666666652</v>
      </c>
      <c r="C23" s="7">
        <f>F8*B11*B8*B14</f>
        <v>296.29629629629619</v>
      </c>
      <c r="D23" s="7">
        <f>B23+C23</f>
        <v>962.96296296296271</v>
      </c>
      <c r="E23" s="7">
        <f>F23-D23</f>
        <v>148.14814814814815</v>
      </c>
      <c r="F23" s="12">
        <f>B13*F8</f>
        <v>1111.1111111111109</v>
      </c>
      <c r="G23" s="7">
        <f>E23/D23</f>
        <v>0.15384615384615388</v>
      </c>
      <c r="H23" s="8">
        <f>E23/C23</f>
        <v>0.50000000000000022</v>
      </c>
      <c r="J23" t="s">
        <v>5</v>
      </c>
      <c r="K23" s="1" t="s">
        <v>38</v>
      </c>
      <c r="L23">
        <f>-B11*B9^2+(1-D9*B11*B8/(1-D8))*B9</f>
        <v>0.11111111111111113</v>
      </c>
    </row>
    <row r="24" spans="1:12">
      <c r="A24" s="6" t="s">
        <v>28</v>
      </c>
      <c r="B24" s="7">
        <f>D9*B13*F9</f>
        <v>327.48538011695899</v>
      </c>
      <c r="C24" s="7">
        <f>F9*B11*B9*B14</f>
        <v>218.32358674463933</v>
      </c>
      <c r="D24" s="7">
        <f t="shared" ref="D24:D25" si="2">B24+C24</f>
        <v>545.80896686159826</v>
      </c>
      <c r="E24" s="7">
        <f t="shared" ref="E24:E25" si="3">F24-D24</f>
        <v>109.16179337231972</v>
      </c>
      <c r="F24" s="14">
        <f t="shared" ref="F24:F25" si="4">B14*F9</f>
        <v>654.97076023391799</v>
      </c>
      <c r="G24" s="7">
        <f t="shared" ref="G24:G25" si="5">E24/D24</f>
        <v>0.20000000000000012</v>
      </c>
      <c r="H24" s="8">
        <f t="shared" ref="H24:H25" si="6">E24/C24</f>
        <v>0.50000000000000022</v>
      </c>
      <c r="J24" t="s">
        <v>17</v>
      </c>
      <c r="K24" s="1" t="s">
        <v>39</v>
      </c>
      <c r="L24">
        <f>B11*B9^2+D9*B11*B8*B9/(1-D8)+D9*B8/(1-D8)</f>
        <v>0.55555555555555558</v>
      </c>
    </row>
    <row r="25" spans="1:12">
      <c r="A25" s="6" t="s">
        <v>29</v>
      </c>
      <c r="B25" s="7">
        <f>D10*B13*F10</f>
        <v>116.95906432748541</v>
      </c>
      <c r="C25" s="7">
        <f>F10*B11*B10*B14</f>
        <v>140.35087719298247</v>
      </c>
      <c r="D25" s="7">
        <f t="shared" si="2"/>
        <v>257.30994152046787</v>
      </c>
      <c r="E25" s="7">
        <f t="shared" si="3"/>
        <v>70.17543859649129</v>
      </c>
      <c r="F25" s="16">
        <f t="shared" si="4"/>
        <v>327.48538011695916</v>
      </c>
      <c r="G25" s="7">
        <f t="shared" si="5"/>
        <v>0.27272727272727293</v>
      </c>
      <c r="H25" s="8">
        <f t="shared" si="6"/>
        <v>0.50000000000000044</v>
      </c>
      <c r="J25" t="s">
        <v>23</v>
      </c>
      <c r="K25" s="1" t="s">
        <v>40</v>
      </c>
      <c r="L25">
        <f>B10*(1-D8-B11*(B9*(1-D8)+D9*B8))/(1-D8)</f>
        <v>0.13333333333333336</v>
      </c>
    </row>
    <row r="26" spans="1:12" ht="15.75" thickBot="1">
      <c r="A26" s="9"/>
      <c r="B26" s="13">
        <f>SUM(B23:B25)</f>
        <v>1111.1111111111109</v>
      </c>
      <c r="C26" s="15">
        <f>SUM(C23:C25)</f>
        <v>654.97076023391799</v>
      </c>
      <c r="D26" s="10">
        <f>SUM(D23:D25)</f>
        <v>1766.081871345029</v>
      </c>
      <c r="E26" s="17">
        <f>SUM(E23:E25)</f>
        <v>327.48538011695916</v>
      </c>
      <c r="F26" s="10"/>
      <c r="G26" s="10"/>
      <c r="H26" s="11"/>
      <c r="J26" t="s">
        <v>18</v>
      </c>
      <c r="K26" s="1" t="s">
        <v>41</v>
      </c>
      <c r="L26">
        <f>(B11*B10*(B9*(1-D8)+D9*B8)+D10*B8)/(1-D8)</f>
        <v>0.48888888888888887</v>
      </c>
    </row>
    <row r="27" spans="1:12" ht="15.75" thickTop="1"/>
    <row r="28" spans="1:12">
      <c r="A28" t="s">
        <v>121</v>
      </c>
      <c r="J28" t="s">
        <v>42</v>
      </c>
      <c r="K28" s="1" t="s">
        <v>43</v>
      </c>
      <c r="L28" s="34">
        <f>(1-B11*B9)*(1-D8)/(2*B11*D9)</f>
        <v>0.44444444444444453</v>
      </c>
    </row>
    <row r="29" spans="1:12">
      <c r="A29" t="s">
        <v>122</v>
      </c>
      <c r="J29" t="s">
        <v>44</v>
      </c>
      <c r="K29" s="1" t="s">
        <v>45</v>
      </c>
      <c r="L29" s="34">
        <f>(1/(2*B11))*(1-D9*B11*B8/(1-D8))</f>
        <v>0.33333333333333337</v>
      </c>
    </row>
    <row r="30" spans="1:12">
      <c r="J30" t="s">
        <v>69</v>
      </c>
      <c r="K30" s="1" t="s">
        <v>67</v>
      </c>
      <c r="L30">
        <f>(1/2)*(1-B11/L40)</f>
        <v>0.33333333333333337</v>
      </c>
    </row>
    <row r="31" spans="1:12">
      <c r="J31" t="s">
        <v>0</v>
      </c>
      <c r="K31" s="1" t="s">
        <v>46</v>
      </c>
      <c r="L31">
        <f>B11*B9</f>
        <v>0.33333333333333331</v>
      </c>
    </row>
    <row r="32" spans="1:12">
      <c r="J32" t="s">
        <v>3</v>
      </c>
      <c r="K32" s="1" t="s">
        <v>46</v>
      </c>
      <c r="L32">
        <f>B9/B14</f>
        <v>0.50000000000000011</v>
      </c>
    </row>
    <row r="33" spans="10:14">
      <c r="J33" t="s">
        <v>3</v>
      </c>
      <c r="K33" s="1" t="s">
        <v>47</v>
      </c>
      <c r="L33">
        <f>L31*(1+D13)</f>
        <v>0.50000000000000011</v>
      </c>
    </row>
    <row r="34" spans="10:14">
      <c r="J34" t="s">
        <v>48</v>
      </c>
      <c r="K34" s="1" t="s">
        <v>50</v>
      </c>
      <c r="L34" t="e">
        <f>2*L31/(1+SQRT(1-4*L31))</f>
        <v>#NUM!</v>
      </c>
    </row>
    <row r="35" spans="10:14">
      <c r="J35" t="s">
        <v>49</v>
      </c>
      <c r="K35" s="1" t="s">
        <v>50</v>
      </c>
      <c r="L35" t="e">
        <f>2*L31/(1-SQRT(1-4*L31))</f>
        <v>#NUM!</v>
      </c>
    </row>
    <row r="36" spans="10:14">
      <c r="J36" t="s">
        <v>52</v>
      </c>
      <c r="K36" s="1" t="s">
        <v>53</v>
      </c>
      <c r="L36" t="e">
        <f>(1-SQRT(1-4*L31))/(1+SQRT(1-4*L31))</f>
        <v>#NUM!</v>
      </c>
    </row>
    <row r="37" spans="10:14">
      <c r="J37" t="s">
        <v>51</v>
      </c>
      <c r="K37" s="1" t="s">
        <v>53</v>
      </c>
      <c r="L37" t="e">
        <f>1/L36</f>
        <v>#NUM!</v>
      </c>
    </row>
    <row r="38" spans="10:14">
      <c r="J38" t="s">
        <v>8</v>
      </c>
      <c r="K38" s="1" t="s">
        <v>54</v>
      </c>
      <c r="L38">
        <f>B9*(1-D8)*(1/(1+D13)-L31)/(L31*D9)</f>
        <v>0.44444444444444431</v>
      </c>
    </row>
    <row r="39" spans="10:14">
      <c r="J39" t="s">
        <v>55</v>
      </c>
      <c r="K39" s="1" t="s">
        <v>56</v>
      </c>
      <c r="L39">
        <f>1/(4*B11)+(D9*B8/(2*(1-D8)))^2*B11-D9*B8/(2*(1-D8))</f>
        <v>0.11111111111111113</v>
      </c>
    </row>
    <row r="40" spans="10:14">
      <c r="J40" t="s">
        <v>57</v>
      </c>
      <c r="K40" s="1" t="s">
        <v>58</v>
      </c>
      <c r="L40">
        <f>(1-D8)/(D9*B8)</f>
        <v>3</v>
      </c>
    </row>
    <row r="41" spans="10:14">
      <c r="J41" t="s">
        <v>60</v>
      </c>
      <c r="K41" s="1" t="s">
        <v>59</v>
      </c>
      <c r="L41">
        <f>L29+1/L40</f>
        <v>0.66666666666666674</v>
      </c>
    </row>
    <row r="42" spans="10:14">
      <c r="J42" t="s">
        <v>61</v>
      </c>
      <c r="K42" s="1" t="s">
        <v>59</v>
      </c>
      <c r="L42">
        <f>B11*(L41+L29)</f>
        <v>1</v>
      </c>
    </row>
    <row r="43" spans="10:14">
      <c r="J43" t="s">
        <v>73</v>
      </c>
      <c r="K43" s="1" t="s">
        <v>74</v>
      </c>
      <c r="L43">
        <f>L30/(1-L30)</f>
        <v>0.50000000000000011</v>
      </c>
      <c r="M43">
        <f>L31/(1-L31)</f>
        <v>0.49999999999999989</v>
      </c>
    </row>
    <row r="44" spans="10:14">
      <c r="J44" t="s">
        <v>63</v>
      </c>
      <c r="K44" s="1" t="s">
        <v>62</v>
      </c>
      <c r="L44">
        <f>B11*B14</f>
        <v>0.66666666666666652</v>
      </c>
      <c r="M44">
        <f>L31/L32</f>
        <v>0.66666666666666652</v>
      </c>
      <c r="N44">
        <f>L31+B11/L40</f>
        <v>0.66666666666666663</v>
      </c>
    </row>
    <row r="45" spans="10:14">
      <c r="J45" t="s">
        <v>12</v>
      </c>
      <c r="K45" s="1" t="s">
        <v>64</v>
      </c>
      <c r="L45">
        <f>L31*(1-L32)*L40/L32</f>
        <v>0.99999999999999956</v>
      </c>
    </row>
    <row r="46" spans="10:14">
      <c r="J46" t="s">
        <v>65</v>
      </c>
      <c r="K46" s="1" t="s">
        <v>66</v>
      </c>
      <c r="L46">
        <f>(L32-L31)/(L40*(1-L32))</f>
        <v>0.11111111111111123</v>
      </c>
    </row>
    <row r="47" spans="10:14">
      <c r="J47" t="s">
        <v>68</v>
      </c>
      <c r="K47" s="1" t="s">
        <v>67</v>
      </c>
      <c r="L47">
        <f>L30^2/(L40*(1-2*L30))</f>
        <v>0.11111111111111116</v>
      </c>
    </row>
    <row r="48" spans="10:14">
      <c r="J48" t="s">
        <v>70</v>
      </c>
      <c r="K48" s="1" t="s">
        <v>71</v>
      </c>
      <c r="L48">
        <f>D13*L32/((1+D13)*(1-L32)*L40)</f>
        <v>0.11111111111111122</v>
      </c>
    </row>
    <row r="49" spans="10:13">
      <c r="J49" t="s">
        <v>75</v>
      </c>
      <c r="K49" s="1" t="s">
        <v>77</v>
      </c>
      <c r="L49">
        <f>L43/L30-1</f>
        <v>0.50000000000000022</v>
      </c>
    </row>
    <row r="50" spans="10:13">
      <c r="J50" t="s">
        <v>76</v>
      </c>
      <c r="K50" s="1" t="s">
        <v>72</v>
      </c>
      <c r="L50">
        <f>L49^2/(L40*(1-L49^2))</f>
        <v>0.11111111111111126</v>
      </c>
    </row>
    <row r="51" spans="10:13">
      <c r="J51" t="s">
        <v>79</v>
      </c>
      <c r="K51" s="1" t="s">
        <v>78</v>
      </c>
      <c r="L51">
        <f>L43^2/(L40*(1-L43^2))</f>
        <v>0.11111111111111119</v>
      </c>
    </row>
    <row r="52" spans="10:13">
      <c r="J52" t="s">
        <v>12</v>
      </c>
      <c r="K52" s="1" t="s">
        <v>80</v>
      </c>
      <c r="L52">
        <f>(1-2*L30)*L40</f>
        <v>0.99999999999999978</v>
      </c>
    </row>
    <row r="53" spans="10:13">
      <c r="J53" t="s">
        <v>69</v>
      </c>
      <c r="K53" s="1" t="s">
        <v>81</v>
      </c>
      <c r="L53">
        <f>(1/2)*(1-B11/L40)</f>
        <v>0.33333333333333337</v>
      </c>
    </row>
    <row r="54" spans="10:13">
      <c r="J54" t="s">
        <v>12</v>
      </c>
      <c r="K54" s="1" t="s">
        <v>81</v>
      </c>
      <c r="L54">
        <f>1/(1/L40+2*L29)</f>
        <v>1</v>
      </c>
    </row>
    <row r="55" spans="10:13">
      <c r="J55" t="s">
        <v>83</v>
      </c>
      <c r="K55" s="1" t="s">
        <v>84</v>
      </c>
      <c r="L55">
        <f>D9*L28/(2*D9+(1-D8)*B9/L28)</f>
        <v>0.1481481481481482</v>
      </c>
      <c r="M55">
        <f>(1-B11*B9)*L28/2</f>
        <v>0.1481481481481482</v>
      </c>
    </row>
    <row r="56" spans="10:13">
      <c r="J56" t="s">
        <v>82</v>
      </c>
      <c r="K56" s="1" t="s">
        <v>85</v>
      </c>
      <c r="L56">
        <f>(1-D8)*L29/(D9*B8/L29+2*(1-D8))</f>
        <v>0.11111111111111113</v>
      </c>
    </row>
    <row r="57" spans="10:13">
      <c r="J57" t="s">
        <v>87</v>
      </c>
      <c r="K57" s="1" t="s">
        <v>86</v>
      </c>
      <c r="L57">
        <f>(1-D8)/(D9*L28)</f>
        <v>2.9999999999999996</v>
      </c>
    </row>
    <row r="58" spans="10:13">
      <c r="J58" t="s">
        <v>12</v>
      </c>
      <c r="K58" s="1" t="s">
        <v>86</v>
      </c>
      <c r="L58">
        <f>1/(2/L57+B9)</f>
        <v>1</v>
      </c>
    </row>
    <row r="59" spans="10:13">
      <c r="J59" t="s">
        <v>89</v>
      </c>
      <c r="K59" s="1" t="s">
        <v>88</v>
      </c>
      <c r="L59">
        <f>((1-B11*B9)*(1-D8)-B11*D9*B8)/(B11*D9*B8+D8+B11*B9*(1-D8))</f>
        <v>0.15384615384615391</v>
      </c>
    </row>
    <row r="60" spans="10:13">
      <c r="J60" t="s">
        <v>90</v>
      </c>
      <c r="K60" s="1" t="s">
        <v>92</v>
      </c>
      <c r="L60">
        <f>(-B11*(1-D8)*B9^2+(1-D8-D9*B11*B8)*B9)/(B11*(1-D8)*B9^2+D9*B11*B8*B9+D9*B8)</f>
        <v>0.20000000000000009</v>
      </c>
    </row>
    <row r="61" spans="10:13">
      <c r="J61" t="s">
        <v>91</v>
      </c>
      <c r="K61" s="1" t="s">
        <v>93</v>
      </c>
      <c r="L61">
        <f>B10*(1-D8-B11*(B9*(1-D8)+D9*B8))/(B11*B10*(B9*(1-D8)+D9*B8)+D10*B8)</f>
        <v>0.27272727272727276</v>
      </c>
    </row>
    <row r="62" spans="10:13">
      <c r="J62" t="s">
        <v>95</v>
      </c>
      <c r="K62" s="1" t="s">
        <v>94</v>
      </c>
      <c r="L62">
        <f>(1-D8)*(1-L32)/(D9*(1+D13))</f>
        <v>0.4444444444444442</v>
      </c>
    </row>
    <row r="63" spans="10:13">
      <c r="J63" t="s">
        <v>95</v>
      </c>
      <c r="K63" s="1" t="s">
        <v>96</v>
      </c>
      <c r="L63">
        <f>L32/(1+D13)</f>
        <v>0.33333333333333331</v>
      </c>
    </row>
    <row r="64" spans="10:13">
      <c r="J64" t="s">
        <v>99</v>
      </c>
      <c r="K64" s="1" t="s">
        <v>97</v>
      </c>
      <c r="L64">
        <f>(1-D8)*D13/(1+D8*D13)</f>
        <v>0.15384615384615394</v>
      </c>
    </row>
    <row r="65" spans="10:12">
      <c r="J65" t="s">
        <v>100</v>
      </c>
      <c r="K65" s="1" t="s">
        <v>98</v>
      </c>
      <c r="L65">
        <f>D13*L32/(1+D13*(1-L32))</f>
        <v>0.20000000000000018</v>
      </c>
    </row>
    <row r="66" spans="10:12">
      <c r="J66" t="s">
        <v>102</v>
      </c>
      <c r="K66" s="1" t="s">
        <v>101</v>
      </c>
      <c r="L66">
        <f>B11*B10*D13/(B11*B10+D10*(1-L32)/D9)</f>
        <v>0.27272727272727293</v>
      </c>
    </row>
    <row r="67" spans="10:12">
      <c r="K67" s="1"/>
    </row>
    <row r="68" spans="10:12">
      <c r="K68" s="1"/>
    </row>
    <row r="69" spans="10:12">
      <c r="K69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9"/>
  <sheetViews>
    <sheetView topLeftCell="A4" workbookViewId="0">
      <selection activeCell="G29" sqref="G29"/>
    </sheetView>
  </sheetViews>
  <sheetFormatPr defaultRowHeight="15"/>
  <cols>
    <col min="5" max="5" width="11.7109375" customWidth="1"/>
    <col min="9" max="9" width="11.85546875" customWidth="1"/>
    <col min="10" max="10" width="13.28515625" customWidth="1"/>
  </cols>
  <sheetData>
    <row r="1" spans="1:11">
      <c r="A1" s="30" t="s">
        <v>125</v>
      </c>
    </row>
    <row r="2" spans="1:11">
      <c r="A2" s="30" t="s">
        <v>126</v>
      </c>
    </row>
    <row r="3" spans="1:11">
      <c r="A3" s="30"/>
    </row>
    <row r="4" spans="1:11">
      <c r="A4" s="31" t="s">
        <v>103</v>
      </c>
    </row>
    <row r="5" spans="1:11">
      <c r="A5" s="18" t="s">
        <v>129</v>
      </c>
    </row>
    <row r="6" spans="1:11">
      <c r="A6" s="18" t="s">
        <v>130</v>
      </c>
    </row>
    <row r="7" spans="1:11" ht="15.75" thickBot="1">
      <c r="A7" s="18"/>
      <c r="J7" s="2" t="s">
        <v>127</v>
      </c>
    </row>
    <row r="8" spans="1:11" ht="16.5" thickTop="1" thickBot="1">
      <c r="A8" s="19" t="s">
        <v>8</v>
      </c>
      <c r="B8" s="32">
        <f>5/9</f>
        <v>0.55555555555555558</v>
      </c>
      <c r="C8" s="20" t="s">
        <v>4</v>
      </c>
      <c r="D8" s="20">
        <v>0.5</v>
      </c>
      <c r="E8" s="27" t="s">
        <v>13</v>
      </c>
      <c r="F8" s="28">
        <v>1000</v>
      </c>
      <c r="J8" t="s">
        <v>104</v>
      </c>
      <c r="K8" s="1" t="s">
        <v>105</v>
      </c>
    </row>
    <row r="9" spans="1:11" ht="15.75" thickTop="1">
      <c r="A9" s="21" t="s">
        <v>9</v>
      </c>
      <c r="B9" s="33">
        <f>1/3</f>
        <v>0.33333333333333331</v>
      </c>
      <c r="C9" s="22" t="s">
        <v>6</v>
      </c>
      <c r="D9" s="25">
        <v>0.3</v>
      </c>
      <c r="E9" t="s">
        <v>14</v>
      </c>
      <c r="F9">
        <f>F8*(1-D8-D10*F11)/D9</f>
        <v>1228.0701754385962</v>
      </c>
      <c r="J9" t="s">
        <v>106</v>
      </c>
      <c r="K9" t="s">
        <v>107</v>
      </c>
    </row>
    <row r="10" spans="1:11">
      <c r="A10" s="21" t="s">
        <v>10</v>
      </c>
      <c r="B10" s="22">
        <v>0.4</v>
      </c>
      <c r="C10" s="22" t="s">
        <v>7</v>
      </c>
      <c r="D10" s="25">
        <v>0.2</v>
      </c>
      <c r="E10" t="s">
        <v>15</v>
      </c>
      <c r="F10">
        <f>F8*(D9*B11*B8+(B11*B9-1)*(1-D8))/((B11*B9-1)*D10-D9*B11*B10)</f>
        <v>657.89473684210543</v>
      </c>
      <c r="J10" t="s">
        <v>108</v>
      </c>
      <c r="K10" t="s">
        <v>109</v>
      </c>
    </row>
    <row r="11" spans="1:11" ht="15.75" thickBot="1">
      <c r="A11" s="23" t="s">
        <v>12</v>
      </c>
      <c r="B11" s="24">
        <v>1</v>
      </c>
      <c r="C11" s="24"/>
      <c r="D11" s="26"/>
      <c r="E11" t="s">
        <v>111</v>
      </c>
      <c r="F11">
        <f>F10/F8</f>
        <v>0.65789473684210542</v>
      </c>
      <c r="J11" t="s">
        <v>12</v>
      </c>
      <c r="K11" t="s">
        <v>110</v>
      </c>
    </row>
    <row r="12" spans="1:11" ht="15.75" thickTop="1">
      <c r="A12" s="29" t="s">
        <v>123</v>
      </c>
      <c r="J12" t="s">
        <v>112</v>
      </c>
      <c r="K12" t="s">
        <v>113</v>
      </c>
    </row>
    <row r="13" spans="1:11">
      <c r="A13" t="s">
        <v>19</v>
      </c>
      <c r="B13">
        <f>B8/(1-D8)</f>
        <v>1.1111111111111112</v>
      </c>
      <c r="C13" t="s">
        <v>11</v>
      </c>
      <c r="D13">
        <f>(1-B11*B14)/(B11*B14)</f>
        <v>0.50000000000000011</v>
      </c>
      <c r="J13" t="s">
        <v>114</v>
      </c>
      <c r="K13" t="s">
        <v>115</v>
      </c>
    </row>
    <row r="14" spans="1:11">
      <c r="A14" t="s">
        <v>20</v>
      </c>
      <c r="B14">
        <f>D9*B13+B9</f>
        <v>0.66666666666666663</v>
      </c>
      <c r="J14" t="s">
        <v>116</v>
      </c>
      <c r="K14" t="s">
        <v>117</v>
      </c>
    </row>
    <row r="15" spans="1:11">
      <c r="A15" t="s">
        <v>21</v>
      </c>
      <c r="B15">
        <f>D10*B13+B10</f>
        <v>0.62222222222222223</v>
      </c>
      <c r="J15" t="s">
        <v>118</v>
      </c>
      <c r="K15" t="s">
        <v>119</v>
      </c>
    </row>
    <row r="16" spans="1:11">
      <c r="J16" t="s">
        <v>11</v>
      </c>
      <c r="K16" t="s">
        <v>124</v>
      </c>
    </row>
    <row r="17" spans="1:12">
      <c r="A17" t="s">
        <v>16</v>
      </c>
      <c r="B17">
        <f>D8*B13+B11*B14*B8</f>
        <v>0.92592592592592593</v>
      </c>
      <c r="D17" t="s">
        <v>22</v>
      </c>
      <c r="E17">
        <f>B13-B17</f>
        <v>0.18518518518518523</v>
      </c>
      <c r="G17" t="s">
        <v>24</v>
      </c>
      <c r="H17">
        <f>E17/B17</f>
        <v>0.20000000000000004</v>
      </c>
    </row>
    <row r="18" spans="1:12">
      <c r="A18" t="s">
        <v>17</v>
      </c>
      <c r="B18">
        <f>D9*B13+B11*B14*B9</f>
        <v>0.55555555555555558</v>
      </c>
      <c r="D18" t="s">
        <v>5</v>
      </c>
      <c r="E18">
        <f t="shared" ref="E18:E19" si="0">B14-B18</f>
        <v>0.11111111111111105</v>
      </c>
      <c r="G18" t="s">
        <v>25</v>
      </c>
      <c r="H18">
        <f t="shared" ref="H18:H19" si="1">E18/B18</f>
        <v>0.19999999999999987</v>
      </c>
    </row>
    <row r="19" spans="1:12">
      <c r="A19" t="s">
        <v>18</v>
      </c>
      <c r="B19">
        <f>D10*B13+B11*B14*B10</f>
        <v>0.48888888888888893</v>
      </c>
      <c r="D19" t="s">
        <v>23</v>
      </c>
      <c r="E19">
        <f t="shared" si="0"/>
        <v>0.1333333333333333</v>
      </c>
      <c r="G19" t="s">
        <v>26</v>
      </c>
      <c r="H19">
        <f t="shared" si="1"/>
        <v>0.27272727272727265</v>
      </c>
      <c r="J19" s="2" t="s">
        <v>128</v>
      </c>
    </row>
    <row r="21" spans="1:12" ht="15.75" thickBot="1">
      <c r="A21" t="s">
        <v>120</v>
      </c>
      <c r="J21" t="s">
        <v>22</v>
      </c>
      <c r="K21" s="1" t="s">
        <v>36</v>
      </c>
      <c r="L21">
        <f>-B11*D9*B8^2/(1-D8)+(1-B11*B9)*B8</f>
        <v>0.1851851851851852</v>
      </c>
    </row>
    <row r="22" spans="1:12" ht="15.75" thickTop="1">
      <c r="A22" s="3"/>
      <c r="B22" s="4" t="s">
        <v>30</v>
      </c>
      <c r="C22" s="4" t="s">
        <v>31</v>
      </c>
      <c r="D22" s="4" t="s">
        <v>32</v>
      </c>
      <c r="E22" s="4" t="s">
        <v>33</v>
      </c>
      <c r="F22" s="4" t="s">
        <v>34</v>
      </c>
      <c r="G22" s="4" t="s">
        <v>35</v>
      </c>
      <c r="H22" s="5" t="s">
        <v>11</v>
      </c>
      <c r="J22" t="s">
        <v>16</v>
      </c>
      <c r="K22" s="1" t="s">
        <v>37</v>
      </c>
      <c r="L22">
        <f>B11*D9*B8^2/(1-D8)+(D8/(1-D8)+B11*B9)*B8</f>
        <v>0.92592592592592593</v>
      </c>
    </row>
    <row r="23" spans="1:12">
      <c r="A23" s="6" t="s">
        <v>27</v>
      </c>
      <c r="B23" s="7">
        <f>D8*B13*F8</f>
        <v>555.55555555555554</v>
      </c>
      <c r="C23" s="7">
        <f>F8*B11*B8*B14</f>
        <v>370.37037037037032</v>
      </c>
      <c r="D23" s="7">
        <f>B23+C23</f>
        <v>925.92592592592587</v>
      </c>
      <c r="E23" s="7">
        <f>F23-D23</f>
        <v>185.18518518518522</v>
      </c>
      <c r="F23" s="12">
        <f>B13*F8</f>
        <v>1111.1111111111111</v>
      </c>
      <c r="G23" s="7">
        <f>E23/D23</f>
        <v>0.20000000000000004</v>
      </c>
      <c r="H23" s="8">
        <f>E23/C23</f>
        <v>0.50000000000000011</v>
      </c>
      <c r="J23" t="s">
        <v>5</v>
      </c>
      <c r="K23" s="1" t="s">
        <v>38</v>
      </c>
      <c r="L23">
        <f>-B11*B9^2+(1-D9*B11*B8/(1-D8))*B9</f>
        <v>0.11111111111111113</v>
      </c>
    </row>
    <row r="24" spans="1:12">
      <c r="A24" s="6" t="s">
        <v>28</v>
      </c>
      <c r="B24" s="7">
        <f>D9*B13*F9</f>
        <v>409.3567251461987</v>
      </c>
      <c r="C24" s="7">
        <f>F9*B11*B9*B14</f>
        <v>272.90448343079913</v>
      </c>
      <c r="D24" s="7">
        <f t="shared" ref="D24:D25" si="2">B24+C24</f>
        <v>682.26120857699789</v>
      </c>
      <c r="E24" s="7">
        <f t="shared" ref="E24:E25" si="3">F24-D24</f>
        <v>136.45224171539951</v>
      </c>
      <c r="F24" s="14">
        <f t="shared" ref="F24:F25" si="4">B14*F9</f>
        <v>818.7134502923974</v>
      </c>
      <c r="G24" s="7">
        <f t="shared" ref="G24:G25" si="5">E24/D24</f>
        <v>0.1999999999999999</v>
      </c>
      <c r="H24" s="8">
        <f t="shared" ref="H24:H25" si="6">E24/C24</f>
        <v>0.49999999999999978</v>
      </c>
      <c r="J24" t="s">
        <v>17</v>
      </c>
      <c r="K24" s="1" t="s">
        <v>39</v>
      </c>
      <c r="L24">
        <f>B11*B9^2+D9*B11*B8*B9/(1-D8)+D9*B8/(1-D8)</f>
        <v>0.55555555555555558</v>
      </c>
    </row>
    <row r="25" spans="1:12">
      <c r="A25" s="6" t="s">
        <v>29</v>
      </c>
      <c r="B25" s="7">
        <f>D10*B13*F10</f>
        <v>146.19883040935676</v>
      </c>
      <c r="C25" s="7">
        <f>F10*B11*B10*B14</f>
        <v>175.43859649122811</v>
      </c>
      <c r="D25" s="7">
        <f t="shared" si="2"/>
        <v>321.63742690058484</v>
      </c>
      <c r="E25" s="7">
        <f t="shared" si="3"/>
        <v>87.719298245614084</v>
      </c>
      <c r="F25" s="16">
        <f t="shared" si="4"/>
        <v>409.35672514619893</v>
      </c>
      <c r="G25" s="7">
        <f t="shared" si="5"/>
        <v>0.27272727272727282</v>
      </c>
      <c r="H25" s="8">
        <f t="shared" si="6"/>
        <v>0.50000000000000011</v>
      </c>
      <c r="J25" t="s">
        <v>23</v>
      </c>
      <c r="K25" s="1" t="s">
        <v>40</v>
      </c>
      <c r="L25">
        <f>B10*(1-D8-B11*(B9*(1-D8)+D9*B8))/(1-D8)</f>
        <v>0.13333333333333336</v>
      </c>
    </row>
    <row r="26" spans="1:12" ht="15.75" thickBot="1">
      <c r="A26" s="9"/>
      <c r="B26" s="13">
        <f>SUM(B23:B25)</f>
        <v>1111.1111111111111</v>
      </c>
      <c r="C26" s="15">
        <f>SUM(C23:C25)</f>
        <v>818.71345029239751</v>
      </c>
      <c r="D26" s="10">
        <f>SUM(D23:D25)</f>
        <v>1929.8245614035086</v>
      </c>
      <c r="E26" s="17">
        <f>SUM(E23:E25)</f>
        <v>409.35672514619881</v>
      </c>
      <c r="F26" s="10"/>
      <c r="G26" s="10"/>
      <c r="H26" s="11"/>
      <c r="J26" t="s">
        <v>18</v>
      </c>
      <c r="K26" s="1" t="s">
        <v>41</v>
      </c>
      <c r="L26">
        <f>(B11*B10*(B9*(1-D8)+D9*B8)+D10*B8)/(1-D8)</f>
        <v>0.48888888888888893</v>
      </c>
    </row>
    <row r="27" spans="1:12" ht="15.75" thickTop="1"/>
    <row r="28" spans="1:12">
      <c r="A28" t="s">
        <v>121</v>
      </c>
      <c r="J28" t="s">
        <v>42</v>
      </c>
      <c r="K28" s="1" t="s">
        <v>43</v>
      </c>
      <c r="L28" s="34">
        <f>(1-B11*B9)*(1-D8)/(2*B11*D9)</f>
        <v>0.55555555555555569</v>
      </c>
    </row>
    <row r="29" spans="1:12">
      <c r="A29" t="s">
        <v>122</v>
      </c>
      <c r="J29" t="s">
        <v>44</v>
      </c>
      <c r="K29" s="1" t="s">
        <v>45</v>
      </c>
      <c r="L29" s="34">
        <f>(1/(2*B11))*(1-D9*B11*B8/(1-D8))</f>
        <v>0.33333333333333337</v>
      </c>
    </row>
    <row r="30" spans="1:12">
      <c r="J30" t="s">
        <v>69</v>
      </c>
      <c r="K30" s="1" t="s">
        <v>67</v>
      </c>
      <c r="L30">
        <f>(1/2)*(1-B11/L40)</f>
        <v>0.33333333333333337</v>
      </c>
    </row>
    <row r="31" spans="1:12">
      <c r="J31" t="s">
        <v>0</v>
      </c>
      <c r="K31" s="1" t="s">
        <v>46</v>
      </c>
      <c r="L31">
        <f>B11*B9</f>
        <v>0.33333333333333331</v>
      </c>
    </row>
    <row r="32" spans="1:12">
      <c r="J32" t="s">
        <v>3</v>
      </c>
      <c r="K32" s="1" t="s">
        <v>46</v>
      </c>
      <c r="L32">
        <f>B9/B14</f>
        <v>0.5</v>
      </c>
    </row>
    <row r="33" spans="10:14">
      <c r="J33" t="s">
        <v>3</v>
      </c>
      <c r="K33" s="1" t="s">
        <v>47</v>
      </c>
      <c r="L33">
        <f>L31*(1+D13)</f>
        <v>0.5</v>
      </c>
    </row>
    <row r="34" spans="10:14">
      <c r="J34" t="s">
        <v>48</v>
      </c>
      <c r="K34" s="1" t="s">
        <v>50</v>
      </c>
      <c r="L34" t="e">
        <f>2*L31/(1+SQRT(1-4*L31))</f>
        <v>#NUM!</v>
      </c>
    </row>
    <row r="35" spans="10:14">
      <c r="J35" t="s">
        <v>49</v>
      </c>
      <c r="K35" s="1" t="s">
        <v>50</v>
      </c>
      <c r="L35" t="e">
        <f>2*L31/(1-SQRT(1-4*L31))</f>
        <v>#NUM!</v>
      </c>
    </row>
    <row r="36" spans="10:14">
      <c r="J36" t="s">
        <v>52</v>
      </c>
      <c r="K36" s="1" t="s">
        <v>53</v>
      </c>
      <c r="L36" t="e">
        <f>(1-SQRT(1-4*L31))/(1+SQRT(1-4*L31))</f>
        <v>#NUM!</v>
      </c>
    </row>
    <row r="37" spans="10:14">
      <c r="J37" t="s">
        <v>51</v>
      </c>
      <c r="K37" s="1" t="s">
        <v>53</v>
      </c>
      <c r="L37" t="e">
        <f>1/L36</f>
        <v>#NUM!</v>
      </c>
    </row>
    <row r="38" spans="10:14">
      <c r="J38" t="s">
        <v>8</v>
      </c>
      <c r="K38" s="1" t="s">
        <v>54</v>
      </c>
      <c r="L38">
        <f>B9*(1-D8)*(1/(1+D13)-L31)/(L31*D9)</f>
        <v>0.55555555555555558</v>
      </c>
    </row>
    <row r="39" spans="10:14">
      <c r="J39" t="s">
        <v>55</v>
      </c>
      <c r="K39" s="1" t="s">
        <v>56</v>
      </c>
      <c r="L39">
        <f>1/(4*B11)+(D9*B8/(2*(1-D8)))^2*B11-D9*B8/(2*(1-D8))</f>
        <v>0.11111111111111113</v>
      </c>
    </row>
    <row r="40" spans="10:14">
      <c r="J40" t="s">
        <v>57</v>
      </c>
      <c r="K40" s="1" t="s">
        <v>58</v>
      </c>
      <c r="L40">
        <f>(1-D8)/(D9*B8)</f>
        <v>3</v>
      </c>
    </row>
    <row r="41" spans="10:14">
      <c r="J41" t="s">
        <v>60</v>
      </c>
      <c r="K41" s="1" t="s">
        <v>59</v>
      </c>
      <c r="L41">
        <f>L29+1/L40</f>
        <v>0.66666666666666674</v>
      </c>
    </row>
    <row r="42" spans="10:14">
      <c r="J42" t="s">
        <v>61</v>
      </c>
      <c r="K42" s="1" t="s">
        <v>59</v>
      </c>
      <c r="L42">
        <f>B11*(L41+L29)</f>
        <v>1</v>
      </c>
    </row>
    <row r="43" spans="10:14">
      <c r="J43" t="s">
        <v>73</v>
      </c>
      <c r="K43" s="1" t="s">
        <v>74</v>
      </c>
      <c r="L43">
        <f>L30/(1-L30)</f>
        <v>0.50000000000000011</v>
      </c>
      <c r="M43">
        <f>L31/(1-L31)</f>
        <v>0.49999999999999989</v>
      </c>
    </row>
    <row r="44" spans="10:14">
      <c r="J44" t="s">
        <v>63</v>
      </c>
      <c r="K44" s="1" t="s">
        <v>62</v>
      </c>
      <c r="L44">
        <f>B11*B14</f>
        <v>0.66666666666666663</v>
      </c>
      <c r="M44">
        <f>L31/L32</f>
        <v>0.66666666666666663</v>
      </c>
      <c r="N44">
        <f>L31+B11/L40</f>
        <v>0.66666666666666663</v>
      </c>
    </row>
    <row r="45" spans="10:14">
      <c r="J45" t="s">
        <v>12</v>
      </c>
      <c r="K45" s="1" t="s">
        <v>64</v>
      </c>
      <c r="L45">
        <f>L31*(1-L32)*L40/L32</f>
        <v>1</v>
      </c>
    </row>
    <row r="46" spans="10:14">
      <c r="J46" t="s">
        <v>65</v>
      </c>
      <c r="K46" s="1" t="s">
        <v>66</v>
      </c>
      <c r="L46">
        <f>(L32-L31)/(L40*(1-L32))</f>
        <v>0.11111111111111112</v>
      </c>
    </row>
    <row r="47" spans="10:14">
      <c r="J47" t="s">
        <v>68</v>
      </c>
      <c r="K47" s="1" t="s">
        <v>67</v>
      </c>
      <c r="L47">
        <f>L30^2/(L40*(1-2*L30))</f>
        <v>0.11111111111111116</v>
      </c>
    </row>
    <row r="48" spans="10:14">
      <c r="J48" t="s">
        <v>70</v>
      </c>
      <c r="K48" s="1" t="s">
        <v>71</v>
      </c>
      <c r="L48">
        <f>D13*L32/((1+D13)*(1-L32)*L40)</f>
        <v>0.11111111111111113</v>
      </c>
    </row>
    <row r="49" spans="10:13">
      <c r="J49" t="s">
        <v>75</v>
      </c>
      <c r="K49" s="1" t="s">
        <v>77</v>
      </c>
      <c r="L49">
        <f>L43/L30-1</f>
        <v>0.50000000000000022</v>
      </c>
    </row>
    <row r="50" spans="10:13">
      <c r="J50" t="s">
        <v>76</v>
      </c>
      <c r="K50" s="1" t="s">
        <v>72</v>
      </c>
      <c r="L50">
        <f>L49^2/(L40*(1-L49^2))</f>
        <v>0.11111111111111126</v>
      </c>
    </row>
    <row r="51" spans="10:13">
      <c r="J51" t="s">
        <v>79</v>
      </c>
      <c r="K51" s="1" t="s">
        <v>78</v>
      </c>
      <c r="L51">
        <f>L43^2/(L40*(1-L43^2))</f>
        <v>0.11111111111111119</v>
      </c>
    </row>
    <row r="52" spans="10:13">
      <c r="J52" t="s">
        <v>12</v>
      </c>
      <c r="K52" s="1" t="s">
        <v>80</v>
      </c>
      <c r="L52">
        <f>(1-2*L30)*L40</f>
        <v>0.99999999999999978</v>
      </c>
    </row>
    <row r="53" spans="10:13">
      <c r="J53" t="s">
        <v>69</v>
      </c>
      <c r="K53" s="1" t="s">
        <v>81</v>
      </c>
      <c r="L53">
        <f>(1/2)*(1-B11/L40)</f>
        <v>0.33333333333333337</v>
      </c>
    </row>
    <row r="54" spans="10:13">
      <c r="J54" t="s">
        <v>12</v>
      </c>
      <c r="K54" s="1" t="s">
        <v>81</v>
      </c>
      <c r="L54">
        <f>1/(1/L40+2*L29)</f>
        <v>1</v>
      </c>
    </row>
    <row r="55" spans="10:13">
      <c r="J55" t="s">
        <v>83</v>
      </c>
      <c r="K55" s="1" t="s">
        <v>84</v>
      </c>
      <c r="L55">
        <f>D9*L28/(2*D9+(1-D8)*B9/L28)</f>
        <v>0.18518518518518526</v>
      </c>
      <c r="M55">
        <f>(1-B11*B9)*L28/2</f>
        <v>0.18518518518518526</v>
      </c>
    </row>
    <row r="56" spans="10:13">
      <c r="J56" t="s">
        <v>82</v>
      </c>
      <c r="K56" s="1" t="s">
        <v>85</v>
      </c>
      <c r="L56">
        <f>(1-D8)*L29/(D9*B8/L29+2*(1-D8))</f>
        <v>0.11111111111111112</v>
      </c>
    </row>
    <row r="57" spans="10:13">
      <c r="J57" t="s">
        <v>87</v>
      </c>
      <c r="K57" s="1" t="s">
        <v>86</v>
      </c>
      <c r="L57">
        <f>(1-D8)/(D9*L28)</f>
        <v>2.9999999999999991</v>
      </c>
    </row>
    <row r="58" spans="10:13">
      <c r="J58" t="s">
        <v>12</v>
      </c>
      <c r="K58" s="1" t="s">
        <v>86</v>
      </c>
      <c r="L58">
        <f>1/(2/L57+B9)</f>
        <v>0.99999999999999978</v>
      </c>
    </row>
    <row r="59" spans="10:13">
      <c r="J59" t="s">
        <v>89</v>
      </c>
      <c r="K59" s="1" t="s">
        <v>88</v>
      </c>
      <c r="L59">
        <f>((1-B11*B9)*(1-D8)-B11*D9*B8)/(B11*D9*B8+D8+B11*B9*(1-D8))</f>
        <v>0.20000000000000007</v>
      </c>
    </row>
    <row r="60" spans="10:13">
      <c r="J60" t="s">
        <v>90</v>
      </c>
      <c r="K60" s="1" t="s">
        <v>92</v>
      </c>
      <c r="L60">
        <f>(-B11*(1-D8)*B9^2+(1-D8-D9*B11*B8)*B9)/(B11*(1-D8)*B9^2+D9*B11*B8*B9+D9*B8)</f>
        <v>0.20000000000000004</v>
      </c>
    </row>
    <row r="61" spans="10:13">
      <c r="J61" t="s">
        <v>91</v>
      </c>
      <c r="K61" s="1" t="s">
        <v>93</v>
      </c>
      <c r="L61">
        <f>B10*(1-D8-B11*(B9*(1-D8)+D9*B8))/(B11*B10*(B9*(1-D8)+D9*B8)+D10*B8)</f>
        <v>0.27272727272727276</v>
      </c>
    </row>
    <row r="62" spans="10:13">
      <c r="J62" t="s">
        <v>95</v>
      </c>
      <c r="K62" s="1" t="s">
        <v>94</v>
      </c>
      <c r="L62">
        <f>(1-D8)*(1-L32)/(D9*(1+D13))</f>
        <v>0.55555555555555558</v>
      </c>
    </row>
    <row r="63" spans="10:13">
      <c r="J63" t="s">
        <v>95</v>
      </c>
      <c r="K63" s="1" t="s">
        <v>96</v>
      </c>
      <c r="L63">
        <f>L32/(1+D13)</f>
        <v>0.33333333333333331</v>
      </c>
    </row>
    <row r="64" spans="10:13">
      <c r="J64" t="s">
        <v>99</v>
      </c>
      <c r="K64" s="1" t="s">
        <v>97</v>
      </c>
      <c r="L64">
        <f>(1-D8)*D13/(1+D8*D13)</f>
        <v>0.20000000000000004</v>
      </c>
    </row>
    <row r="65" spans="10:12">
      <c r="J65" t="s">
        <v>100</v>
      </c>
      <c r="K65" s="1" t="s">
        <v>98</v>
      </c>
      <c r="L65">
        <f>D13*L32/(1+D13*(1-L32))</f>
        <v>0.20000000000000004</v>
      </c>
    </row>
    <row r="66" spans="10:12">
      <c r="J66" t="s">
        <v>102</v>
      </c>
      <c r="K66" s="1" t="s">
        <v>101</v>
      </c>
      <c r="L66">
        <f>B11*B10*D13/(B11*B10+D10*(1-L32)/D9)</f>
        <v>0.27272727272727282</v>
      </c>
    </row>
    <row r="67" spans="10:12">
      <c r="K67" s="1"/>
    </row>
    <row r="68" spans="10:12">
      <c r="K68" s="1"/>
    </row>
    <row r="69" spans="10:12">
      <c r="K69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Граф-1</vt:lpstr>
      <vt:lpstr>Граф-2</vt:lpstr>
      <vt:lpstr>Общий случай</vt:lpstr>
      <vt:lpstr>Случай-1</vt:lpstr>
      <vt:lpstr>Случай-2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2016-07-03T15:33:15Z</dcterms:created>
  <dcterms:modified xsi:type="dcterms:W3CDTF">2016-07-13T05:59:07Z</dcterms:modified>
</cp:coreProperties>
</file>